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updateLinks="never"/>
  <mc:AlternateContent xmlns:mc="http://schemas.openxmlformats.org/markup-compatibility/2006">
    <mc:Choice Requires="x15">
      <x15ac:absPath xmlns:x15ac="http://schemas.microsoft.com/office/spreadsheetml/2010/11/ac" url="\\wphcsfill03.hcs.local\PDD\MFS\NOFA\2021 NOFA\"/>
    </mc:Choice>
  </mc:AlternateContent>
  <xr:revisionPtr revIDLastSave="0" documentId="13_ncr:1_{D3B44D16-1F75-4134-B9C3-E0795E807F13}" xr6:coauthVersionLast="46" xr6:coauthVersionMax="46" xr10:uidLastSave="{00000000-0000-0000-0000-000000000000}"/>
  <bookViews>
    <workbookView xWindow="-24120" yWindow="-120" windowWidth="24240" windowHeight="13140" tabRatio="952" xr2:uid="{00000000-000D-0000-FFFF-FFFF00000000}"/>
  </bookViews>
  <sheets>
    <sheet name="Instructions" sheetId="4" r:id="rId1"/>
    <sheet name="Project Input" sheetId="5" r:id="rId2"/>
    <sheet name="Development Team" sheetId="3" r:id="rId3"/>
    <sheet name="NOFA 2021-2 (LIFT)" sheetId="16" state="hidden" r:id="rId4"/>
    <sheet name="NOFA 2021-4 (9% LIHTC)" sheetId="15" r:id="rId5"/>
    <sheet name="NOFA 2021-5 (HOME)" sheetId="2" r:id="rId6"/>
    <sheet name="NOFA 2020-6 (Preservation Gap)" sheetId="12" state="hidden" r:id="rId7"/>
    <sheet name="NOFA 2020-9 (Vets-GHAP)" sheetId="13" state="hidden" r:id="rId8"/>
    <sheet name="NOFA 2021-6 (PSH)" sheetId="7" state="hidden" r:id="rId9"/>
    <sheet name="Prolink" sheetId="11" state="hidden" r:id="rId10"/>
    <sheet name="SD_Dropdowns" sheetId="10" state="veryHidden" r:id="rId11"/>
    <sheet name="Data - Regions" sheetId="9" r:id="rId12"/>
  </sheets>
  <externalReferences>
    <externalReference r:id="rId13"/>
  </externalReferences>
  <definedNames>
    <definedName name="_30__AMI">'Project Input'!$D$43</definedName>
    <definedName name="Architect_Address">'Development Team'!$E$85</definedName>
    <definedName name="Architect_City">'Development Team'!$E$86</definedName>
    <definedName name="Architect_Email">'Development Team'!$H$89</definedName>
    <definedName name="Architect_Federal_Tax_ID">'Development Team'!$E$89</definedName>
    <definedName name="Architect_Name">'Development Team'!$E$84</definedName>
    <definedName name="Architect_Same_as_other_entity?">'Development Team'!$E$82</definedName>
    <definedName name="Architect_State">'Development Team'!$E$87</definedName>
    <definedName name="Architect_Telephone">'Development Team'!$H$88</definedName>
    <definedName name="Architect_Zip">'Development Team'!$E$88</definedName>
    <definedName name="CoDeveloper_Address">'Development Team'!$K$8</definedName>
    <definedName name="CoDeveloper_City">'Development Team'!$K$9</definedName>
    <definedName name="CoDeveloper_County">'Development Team'!$K$10</definedName>
    <definedName name="CoDeveloper_Email">'Development Team'!$N$15</definedName>
    <definedName name="CoDeveloper_Federal_Tax_ID">'Development Team'!$K$13</definedName>
    <definedName name="CoDeveloper_Name">'Development Team'!$K$7</definedName>
    <definedName name="CoDeveloper_State">'Development Team'!$K$11</definedName>
    <definedName name="CoDeveloper_Telephone">'Development Team'!$N$13</definedName>
    <definedName name="CoDeveloper_Zip">'Development Team'!$K$12</definedName>
    <definedName name="Consultant_Address">'Development Team'!$E$39</definedName>
    <definedName name="Consultant_City">'Development Team'!$E$40</definedName>
    <definedName name="Consultant_County">'Development Team'!$E$41</definedName>
    <definedName name="Consultant_Federal_Tax_ID">'Development Team'!$E$44</definedName>
    <definedName name="Consultant_Name">'Development Team'!$E$38</definedName>
    <definedName name="Consultant_State">'Development Team'!$E$42</definedName>
    <definedName name="Consultant_Zip">'Development Team'!$E$43</definedName>
    <definedName name="Deal_Name">Prolink!$F$2</definedName>
    <definedName name="Deal_Number">Prolink!$F$3</definedName>
    <definedName name="Developer_Address">'Development Team'!$E$8</definedName>
    <definedName name="Developer_City">'Development Team'!$E$9</definedName>
    <definedName name="Developer_County">'Development Team'!$E$10</definedName>
    <definedName name="Developer_Email">'Development Team'!$H$15</definedName>
    <definedName name="Developer_Federal_Tax_ID">'Development Team'!$E$13</definedName>
    <definedName name="Developer_Name">'Development Team'!$E$7</definedName>
    <definedName name="Developer_State">'Development Team'!$E$11</definedName>
    <definedName name="Developer_Telephone">'Development Team'!$H$13</definedName>
    <definedName name="Developer_Zip">'Development Team'!$E$12</definedName>
    <definedName name="GeneralContractor_Address">'Development Team'!$E$56</definedName>
    <definedName name="GeneralContractor_City">'Development Team'!$E$57</definedName>
    <definedName name="GeneralContractor_County">'Development Team'!$E$58</definedName>
    <definedName name="GeneralContractor_Email">'Development Team'!$H$61</definedName>
    <definedName name="GeneralContractor_Federal_Tax_ID">'Development Team'!$E$62</definedName>
    <definedName name="GeneralContractor_Name">'Development Team'!$E$55</definedName>
    <definedName name="GeneralContractor_Same_as_other_entity?">'Development Team'!$E$53</definedName>
    <definedName name="GeneralContractor_State">'Development Team'!$E$59</definedName>
    <definedName name="GeneralContractor_Telephone">'Development Team'!$H$59</definedName>
    <definedName name="GeneralContractor_Zip">'Development Team'!$E$60</definedName>
    <definedName name="HOME_Units_with_PBRA">'NOFA 2021-5 (HOME)'!$E$25</definedName>
    <definedName name="If_yes__how_many?">'Project Input'!$D$12</definedName>
    <definedName name="LIHTC_30_1BR" localSheetId="7">'NOFA 2020-9 (Vets-GHAP)'!$G$22</definedName>
    <definedName name="LIHTC_30_1BR">'Project Input'!$F$43</definedName>
    <definedName name="LIHTC_30_2BR" localSheetId="7">'NOFA 2020-9 (Vets-GHAP)'!$H$22</definedName>
    <definedName name="LIHTC_30_2BR">'Project Input'!$G$43</definedName>
    <definedName name="LIHTC_30_3BR" localSheetId="7">'NOFA 2020-9 (Vets-GHAP)'!$I$22</definedName>
    <definedName name="LIHTC_30_3BR">'Project Input'!$H$43</definedName>
    <definedName name="LIHTC_30_4BR" localSheetId="7">'NOFA 2020-9 (Vets-GHAP)'!$J$22</definedName>
    <definedName name="LIHTC_30_4BR">'Project Input'!$I$43</definedName>
    <definedName name="LIHTC_30_SRO" localSheetId="7">'NOFA 2020-9 (Vets-GHAP)'!$E$22</definedName>
    <definedName name="LIHTC_30_SRO">'Project Input'!$D$43</definedName>
    <definedName name="LIHTC_30_STU" localSheetId="7">'NOFA 2020-9 (Vets-GHAP)'!$F$22</definedName>
    <definedName name="LIHTC_30_STU">'Project Input'!$E$43</definedName>
    <definedName name="LIHTC_40_1BR" localSheetId="7">'NOFA 2020-9 (Vets-GHAP)'!$G$23</definedName>
    <definedName name="LIHTC_40_1BR">'Project Input'!$F$44</definedName>
    <definedName name="LIHTC_40_2BR" localSheetId="7">'NOFA 2020-9 (Vets-GHAP)'!$H$23</definedName>
    <definedName name="LIHTC_40_2BR">'Project Input'!$G$44</definedName>
    <definedName name="LIHTC_40_3BR" localSheetId="7">'NOFA 2020-9 (Vets-GHAP)'!$I$23</definedName>
    <definedName name="LIHTC_40_3BR">'Project Input'!$H$44</definedName>
    <definedName name="LIHTC_40_4BR" localSheetId="7">'NOFA 2020-9 (Vets-GHAP)'!$J$23</definedName>
    <definedName name="LIHTC_40_4BR">'Project Input'!$I$44</definedName>
    <definedName name="LIHTC_40_SRO" localSheetId="7">'NOFA 2020-9 (Vets-GHAP)'!$E$23</definedName>
    <definedName name="LIHTC_40_SRO">'Project Input'!$D$44</definedName>
    <definedName name="LIHTC_40_STU" localSheetId="7">'NOFA 2020-9 (Vets-GHAP)'!$F$23</definedName>
    <definedName name="LIHTC_40_STU">'Project Input'!$E$44</definedName>
    <definedName name="LIHTC_50_1BR" localSheetId="7">'NOFA 2020-9 (Vets-GHAP)'!$G$24</definedName>
    <definedName name="LIHTC_50_1BR">'Project Input'!$F$45</definedName>
    <definedName name="LIHTC_50_2BR" localSheetId="7">'NOFA 2020-9 (Vets-GHAP)'!$H$24</definedName>
    <definedName name="LIHTC_50_2BR">'Project Input'!$G$45</definedName>
    <definedName name="LIHTC_50_3BR" localSheetId="7">'NOFA 2020-9 (Vets-GHAP)'!$I$24</definedName>
    <definedName name="LIHTC_50_3BR">'Project Input'!$H$45</definedName>
    <definedName name="LIHTC_50_4BR" localSheetId="7">'NOFA 2020-9 (Vets-GHAP)'!$J$24</definedName>
    <definedName name="LIHTC_50_4BR">'Project Input'!$I$45</definedName>
    <definedName name="LIHTC_50_SRO" localSheetId="7">'NOFA 2020-9 (Vets-GHAP)'!$E$24</definedName>
    <definedName name="LIHTC_50_SRO">'Project Input'!$D$45</definedName>
    <definedName name="LIHTC_50_STU" localSheetId="7">'NOFA 2020-9 (Vets-GHAP)'!$F$24</definedName>
    <definedName name="LIHTC_50_STU">'Project Input'!$E$45</definedName>
    <definedName name="LIHTC_60_1BR" localSheetId="7">'NOFA 2020-9 (Vets-GHAP)'!$G$25</definedName>
    <definedName name="LIHTC_60_1BR">'Project Input'!$F$46</definedName>
    <definedName name="LIHTC_60_2BR" localSheetId="7">'NOFA 2020-9 (Vets-GHAP)'!$H$25</definedName>
    <definedName name="LIHTC_60_2BR">'Project Input'!$G$46</definedName>
    <definedName name="LIHTC_60_3BR" localSheetId="7">'NOFA 2020-9 (Vets-GHAP)'!$I$25</definedName>
    <definedName name="LIHTC_60_3BR">'Project Input'!$H$46</definedName>
    <definedName name="LIHTC_60_4BR" localSheetId="7">'NOFA 2020-9 (Vets-GHAP)'!$J$25</definedName>
    <definedName name="LIHTC_60_4BR">'Project Input'!$I$46</definedName>
    <definedName name="LIHTC_60_SRO" localSheetId="7">'NOFA 2020-9 (Vets-GHAP)'!$E$25</definedName>
    <definedName name="LIHTC_60_SRO">'Project Input'!$D$46</definedName>
    <definedName name="LIHTC_60_STU" localSheetId="7">'NOFA 2020-9 (Vets-GHAP)'!$F$25</definedName>
    <definedName name="LIHTC_60_STU">'Project Input'!$E$46</definedName>
    <definedName name="LIHTC_61_1BR" localSheetId="7">'NOFA 2020-9 (Vets-GHAP)'!$G$26</definedName>
    <definedName name="LIHTC_61_1BR">'Project Input'!$F$47</definedName>
    <definedName name="LIHTC_61_2BR" localSheetId="7">'NOFA 2020-9 (Vets-GHAP)'!$H$26</definedName>
    <definedName name="LIHTC_61_2BR">'Project Input'!$G$47</definedName>
    <definedName name="LIHTC_61_3BR" localSheetId="7">'NOFA 2020-9 (Vets-GHAP)'!$I$26</definedName>
    <definedName name="LIHTC_61_3BR">'Project Input'!$H$47</definedName>
    <definedName name="LIHTC_61_4BR" localSheetId="7">'NOFA 2020-9 (Vets-GHAP)'!$J$26</definedName>
    <definedName name="LIHTC_61_4BR">'Project Input'!$I$47</definedName>
    <definedName name="LIHTC_61_SRO" localSheetId="7">'NOFA 2020-9 (Vets-GHAP)'!$E$26</definedName>
    <definedName name="LIHTC_61_SRO">'Project Input'!$D$47</definedName>
    <definedName name="LIHTC_61_STU" localSheetId="7">'NOFA 2020-9 (Vets-GHAP)'!$F$26</definedName>
    <definedName name="LIHTC_61_STU">'Project Input'!$E$47</definedName>
    <definedName name="Loc_Main_Census">Prolink!$F$10</definedName>
    <definedName name="Loc_Main_Congress">Prolink!$F$9</definedName>
    <definedName name="Loc_Main_House">Prolink!$F$8</definedName>
    <definedName name="Loc_Main_Lat">Prolink!$F$5</definedName>
    <definedName name="Loc_Main_Lon">Prolink!$F$6</definedName>
    <definedName name="Loc_Main_Senate">Prolink!$F$7</definedName>
    <definedName name="ManagementCompany_Address">'Development Team'!$E$71</definedName>
    <definedName name="ManagementCompany_City">'Development Team'!$E$72</definedName>
    <definedName name="ManagementCompany_County">'Development Team'!$E$73</definedName>
    <definedName name="ManagementCompany_Email">'Development Team'!$H$75</definedName>
    <definedName name="ManagementCompany_Federal_Tax_ID">'Development Team'!$E$77</definedName>
    <definedName name="ManagementCompany_Name">'Development Team'!$E$70</definedName>
    <definedName name="ManagementCompany_Same_as_other_entity?">'Development Team'!$E$68</definedName>
    <definedName name="ManagementCompany_State">'Development Team'!$E$74</definedName>
    <definedName name="ManagementCompany_Telephone">'Development Team'!$H$74</definedName>
    <definedName name="ManagementCompany_Zip">'Development Team'!$E$75</definedName>
    <definedName name="PRES_30_1BR">'NOFA 2020-6 (Preservation Gap)'!$G$26</definedName>
    <definedName name="PRES_30_2BR">'NOFA 2020-6 (Preservation Gap)'!$H$26</definedName>
    <definedName name="PRES_30_3BR">'NOFA 2020-6 (Preservation Gap)'!$I$26</definedName>
    <definedName name="PRES_30_4BR">'NOFA 2020-6 (Preservation Gap)'!$J$26</definedName>
    <definedName name="PRES_30_SRO">'NOFA 2020-6 (Preservation Gap)'!$E$26</definedName>
    <definedName name="PRES_30_STU">'NOFA 2020-6 (Preservation Gap)'!$F$26</definedName>
    <definedName name="PRES_40_1BR">'NOFA 2020-6 (Preservation Gap)'!$G$27</definedName>
    <definedName name="PRES_40_2BR">'NOFA 2020-6 (Preservation Gap)'!$H$27</definedName>
    <definedName name="PRES_40_3BR">'NOFA 2020-6 (Preservation Gap)'!$I$27</definedName>
    <definedName name="PRES_40_4BR">'NOFA 2020-6 (Preservation Gap)'!$J$27</definedName>
    <definedName name="PRES_40_SRO" comment="PRES_30_SRO">'NOFA 2020-6 (Preservation Gap)'!$E$27</definedName>
    <definedName name="PRES_40_STU">'NOFA 2020-6 (Preservation Gap)'!$F$27</definedName>
    <definedName name="PRES_50_1BR">'NOFA 2020-6 (Preservation Gap)'!$G$28</definedName>
    <definedName name="PRES_50_2BR">'NOFA 2020-6 (Preservation Gap)'!$H$28</definedName>
    <definedName name="PRES_50_3BR">'NOFA 2020-6 (Preservation Gap)'!$I$28</definedName>
    <definedName name="PRES_50_4BR">'NOFA 2020-6 (Preservation Gap)'!$J$28</definedName>
    <definedName name="PRES_50_SRO">'NOFA 2020-6 (Preservation Gap)'!$E$28</definedName>
    <definedName name="PRES_50_STU">'NOFA 2020-6 (Preservation Gap)'!$F$28</definedName>
    <definedName name="PRES_60_1BR">'NOFA 2020-6 (Preservation Gap)'!$G$29</definedName>
    <definedName name="PRES_60_2BR">'NOFA 2020-6 (Preservation Gap)'!$H$29</definedName>
    <definedName name="PRES_60_3BR">'NOFA 2020-6 (Preservation Gap)'!$I$29</definedName>
    <definedName name="PRES_60_4BR">'NOFA 2020-6 (Preservation Gap)'!$J$29</definedName>
    <definedName name="PRES_60_SRO">'NOFA 2020-6 (Preservation Gap)'!$E$29</definedName>
    <definedName name="PRES_60_STU">'NOFA 2020-6 (Preservation Gap)'!$F$29</definedName>
    <definedName name="PRES_61_1BR">'NOFA 2020-6 (Preservation Gap)'!$G$30</definedName>
    <definedName name="PRES_61_2BR">'NOFA 2020-6 (Preservation Gap)'!$H$30</definedName>
    <definedName name="PRES_61_3BR">'NOFA 2020-6 (Preservation Gap)'!$I$30</definedName>
    <definedName name="PRES_61_4BR">'NOFA 2020-6 (Preservation Gap)'!$J$30</definedName>
    <definedName name="PRES_61_SRO">'NOFA 2020-6 (Preservation Gap)'!$E$30</definedName>
    <definedName name="PRES_61_STU">'NOFA 2020-6 (Preservation Gap)'!$F$30</definedName>
    <definedName name="ScatteredSite">'Project Input'!XFC1048567</definedName>
    <definedName name="SD_161x1_17_B_0" localSheetId="1" hidden="1">'Project Input'!$D$16</definedName>
    <definedName name="SD_161x1_19_B_0" localSheetId="1" hidden="1">'Project Input'!$D$17</definedName>
    <definedName name="SD_161x1_21_B_0" localSheetId="1" hidden="1">'Project Input'!$D$19</definedName>
    <definedName name="SD_161x1_26_S_0" localSheetId="1" hidden="1">'Project Input'!$J$48</definedName>
    <definedName name="SD_161x1_2935x1_13_S_0" localSheetId="9" hidden="1">Prolink!$F$14</definedName>
    <definedName name="SD_161x1_2935x1_15_S_0" localSheetId="9" hidden="1">Prolink!$F$15</definedName>
    <definedName name="SD_161x1_2935x1_17_S_0" localSheetId="9" hidden="1">Prolink!$F$16</definedName>
    <definedName name="SD_161x1_2935x1_87_S_1" localSheetId="9" hidden="1">Prolink!$F$17</definedName>
    <definedName name="SD_161x1_2935x2_13_G_0" localSheetId="1" hidden="1">'Project Input'!$I$16</definedName>
    <definedName name="SD_161x1_2935x2_13_S_0" localSheetId="9" hidden="1">Prolink!$F$18</definedName>
    <definedName name="SD_161x1_2935x2_15_G_0" localSheetId="1" hidden="1">'Project Input'!$I$17</definedName>
    <definedName name="SD_161x1_2935x2_15_S_0" localSheetId="9" hidden="1">Prolink!$F$19</definedName>
    <definedName name="SD_161x1_2935x2_17_G_0" localSheetId="1" hidden="1">'Project Input'!$I$19</definedName>
    <definedName name="SD_161x1_2935x2_17_S_0" localSheetId="9" hidden="1">Prolink!$F$20</definedName>
    <definedName name="SD_161x1_2935x2_87_G_1" localSheetId="1" hidden="1">'Project Input'!$I$21</definedName>
    <definedName name="SD_161x1_2935x2_87_S_1" localSheetId="9" hidden="1">Prolink!$F$21</definedName>
    <definedName name="SD_161x1_2935x3_13_G_0" localSheetId="1" hidden="1">'Project Input'!$M$16</definedName>
    <definedName name="SD_161x1_2935x3_13_S_0" localSheetId="9" hidden="1">Prolink!$F$22</definedName>
    <definedName name="SD_161x1_2935x3_15_G_0" localSheetId="1" hidden="1">'Project Input'!$M$17</definedName>
    <definedName name="SD_161x1_2935x3_15_S_0" localSheetId="9" hidden="1">Prolink!$F$23</definedName>
    <definedName name="SD_161x1_2935x3_17_G_0" localSheetId="1" hidden="1">'Project Input'!$M$19</definedName>
    <definedName name="SD_161x1_2935x3_17_S_0" localSheetId="9" hidden="1">Prolink!$F$24</definedName>
    <definedName name="SD_161x1_2935x3_87_G_1" localSheetId="1" hidden="1">'Project Input'!$M$21</definedName>
    <definedName name="SD_161x1_2935x3_87_S_1" localSheetId="9" hidden="1">Prolink!$F$25</definedName>
    <definedName name="SD_161x1_2935x4_13_G_0" localSheetId="1" hidden="1">'Project Input'!$Q$16</definedName>
    <definedName name="SD_161x1_2935x4_13_S_0" localSheetId="9" hidden="1">Prolink!$F$26</definedName>
    <definedName name="SD_161x1_2935x4_15_G_0" localSheetId="1" hidden="1">'Project Input'!$Q$17</definedName>
    <definedName name="SD_161x1_2935x4_15_S_0" localSheetId="9" hidden="1">Prolink!$F$27</definedName>
    <definedName name="SD_161x1_2935x4_17_G_0" localSheetId="1" hidden="1">'Project Input'!$Q$19</definedName>
    <definedName name="SD_161x1_2935x4_17_S_0" localSheetId="9" hidden="1">Prolink!$F$28</definedName>
    <definedName name="SD_161x1_2935x4_87_G_1" localSheetId="1" hidden="1">'Project Input'!$Q$21</definedName>
    <definedName name="SD_161x1_2935x4_87_S_1" localSheetId="9" hidden="1">Prolink!$F$29</definedName>
    <definedName name="SD_161x1_2935x5_13_G_0" localSheetId="1" hidden="1">'Project Input'!$U$16</definedName>
    <definedName name="SD_161x1_2935x5_13_S_0" localSheetId="9" hidden="1">Prolink!$F$30</definedName>
    <definedName name="SD_161x1_2935x5_15_G_0" localSheetId="1" hidden="1">'Project Input'!$U$17</definedName>
    <definedName name="SD_161x1_2935x5_15_S_0" localSheetId="9" hidden="1">Prolink!$F$31</definedName>
    <definedName name="SD_161x1_2935x5_17_G_0" localSheetId="1" hidden="1">'Project Input'!$U$19</definedName>
    <definedName name="SD_161x1_2935x5_17_S_0" localSheetId="9" hidden="1">Prolink!$F$32</definedName>
    <definedName name="SD_161x1_2935x5_87_G_1" localSheetId="1" hidden="1">'Project Input'!$U$21</definedName>
    <definedName name="SD_161x1_2935x5_87_S_1" localSheetId="9" hidden="1">Prolink!$F$33</definedName>
    <definedName name="SD_161x1_2935x6_13_G_0" localSheetId="1" hidden="1">'Project Input'!$Y$16</definedName>
    <definedName name="SD_161x1_2935x6_13_S_0" localSheetId="9" hidden="1">Prolink!$F$34</definedName>
    <definedName name="SD_161x1_2935x6_15_G_0" localSheetId="1" hidden="1">'Project Input'!$Y$17</definedName>
    <definedName name="SD_161x1_2935x6_15_S_0" localSheetId="9" hidden="1">Prolink!$F$35</definedName>
    <definedName name="SD_161x1_2935x6_17_G_0" localSheetId="1" hidden="1">'Project Input'!$Y$19</definedName>
    <definedName name="SD_161x1_2935x6_17_S_0" localSheetId="9" hidden="1">Prolink!$F$36</definedName>
    <definedName name="SD_161x1_2935x6_87_G_1" localSheetId="1" hidden="1">'Project Input'!$Y$21</definedName>
    <definedName name="SD_161x1_2935x6_87_S_1" localSheetId="9" hidden="1">Prolink!$F$37</definedName>
    <definedName name="SD_161x1_30_G_0" localSheetId="1" hidden="1">'Project Input'!$D$11</definedName>
    <definedName name="SD_161x1_30_S_0" localSheetId="9" hidden="1">Prolink!$F$12</definedName>
    <definedName name="SD_161x1_54_B_0" localSheetId="1" hidden="1">'Project Input'!$D$22</definedName>
    <definedName name="SD_161x1_55_B_0" localSheetId="1" hidden="1">'Project Input'!$D$23</definedName>
    <definedName name="SD_161x1_81_B_1" localSheetId="1" hidden="1">'Project Input'!$D$21</definedName>
    <definedName name="SD_184_S_1" localSheetId="1" hidden="1">'Project Input'!$D$56</definedName>
    <definedName name="SD_20_G_0" localSheetId="9" hidden="1">Prolink!$F$3</definedName>
    <definedName name="SD_3946x1_258_S_1" localSheetId="9" hidden="1">Prolink!$F$7</definedName>
    <definedName name="SD_3946x1_259_S_1" localSheetId="9" hidden="1">Prolink!$F$8</definedName>
    <definedName name="SD_3946x1_460_S_1" localSheetId="9" hidden="1">Prolink!$F$9</definedName>
    <definedName name="SD_3946x1_461_S_0" localSheetId="9" hidden="1">Prolink!$F$10</definedName>
    <definedName name="SD_3946x1_467_S_0" localSheetId="5" hidden="1">'NOFA 2021-5 (HOME)'!$E$25</definedName>
    <definedName name="SD_3946x1_484_S_1" localSheetId="8" hidden="1">'NOFA 2021-6 (PSH)'!$D$19</definedName>
    <definedName name="SD_3946x1_487_S_0" localSheetId="8" hidden="1">'NOFA 2021-6 (PSH)'!$D$14</definedName>
    <definedName name="SD_3946x1_488_S_0" localSheetId="8" hidden="1">'NOFA 2021-6 (PSH)'!$D$21</definedName>
    <definedName name="SD_3946x1_489_S_0" localSheetId="8" hidden="1">'NOFA 2021-6 (PSH)'!$D$8</definedName>
    <definedName name="SD_3946x1_490_S_0" localSheetId="8" hidden="1">'NOFA 2021-6 (PSH)'!$D$10</definedName>
    <definedName name="SD_3946x1_491_S_1" localSheetId="4" hidden="1">'NOFA 2021-4 (9% LIHTC)'!$E$10</definedName>
    <definedName name="SD_3946x1_492_S_0" localSheetId="4" hidden="1">'NOFA 2021-4 (9% LIHTC)'!$E$11</definedName>
    <definedName name="SD_3946x1_493_S_0" localSheetId="9" hidden="1">Prolink!$F$205</definedName>
    <definedName name="SD_3946x1_494_S_0" localSheetId="9" hidden="1">Prolink!$F$206</definedName>
    <definedName name="SD_3946x1_495_S_0" localSheetId="9" hidden="1">Prolink!$F$207</definedName>
    <definedName name="SD_3946x1_496_S_0" localSheetId="9" hidden="1">Prolink!$F$208</definedName>
    <definedName name="SD_3946x1_497_S_0" localSheetId="9" hidden="1">Prolink!$F$209</definedName>
    <definedName name="SD_3946x1_498_S_0" localSheetId="9" hidden="1">Prolink!$F$210</definedName>
    <definedName name="SD_3946x1_499_S_0" localSheetId="4" hidden="1">'NOFA 2021-4 (9% LIHTC)'!$E$26</definedName>
    <definedName name="SD_3946x1_500_S_0" localSheetId="4" hidden="1">'NOFA 2021-4 (9% LIHTC)'!$E$27</definedName>
    <definedName name="SD_3946x1_501_S_0" localSheetId="4" hidden="1">'NOFA 2021-4 (9% LIHTC)'!$E$28</definedName>
    <definedName name="SD_3946x1_502_S_0" localSheetId="4" hidden="1">'NOFA 2021-4 (9% LIHTC)'!$E$29</definedName>
    <definedName name="SD_3946x1_503_S_0" localSheetId="4" hidden="1">'NOFA 2021-4 (9% LIHTC)'!$E$30</definedName>
    <definedName name="SD_3946x1_504_S_0" localSheetId="4" hidden="1">'NOFA 2021-4 (9% LIHTC)'!$E$35</definedName>
    <definedName name="SD_3946x1_505_S_0" localSheetId="4" hidden="1">'NOFA 2021-4 (9% LIHTC)'!$E$36</definedName>
    <definedName name="SD_3946x1_506_S_0" localSheetId="4" hidden="1">'NOFA 2021-4 (9% LIHTC)'!$E$37</definedName>
    <definedName name="SD_3946x1_507_S_0" localSheetId="4" hidden="1">'NOFA 2021-4 (9% LIHTC)'!$E$42</definedName>
    <definedName name="SD_3946x1_508_S_0" localSheetId="4" hidden="1">'NOFA 2021-4 (9% LIHTC)'!$E$43</definedName>
    <definedName name="SD_3946x1_509_S_0" localSheetId="5" hidden="1">'NOFA 2021-5 (HOME)'!$E$31</definedName>
    <definedName name="SD_3946x1_510_S_0" localSheetId="5" hidden="1">'NOFA 2021-5 (HOME)'!$E$8</definedName>
    <definedName name="SD_3946x1_511_S_0" localSheetId="5" hidden="1">'NOFA 2021-5 (HOME)'!$E$13</definedName>
    <definedName name="SD_3946x1_512_S_0" localSheetId="5" hidden="1">'NOFA 2021-5 (HOME)'!$E$14</definedName>
    <definedName name="SD_3946x1_513_S_0" localSheetId="5" hidden="1">'NOFA 2021-5 (HOME)'!$E$15</definedName>
    <definedName name="SD_3946x1_514_S_0" localSheetId="5" hidden="1">'NOFA 2021-5 (HOME)'!$E$16</definedName>
    <definedName name="SD_3946x1_515_S_0" localSheetId="5" hidden="1">'NOFA 2021-5 (HOME)'!$E$17</definedName>
    <definedName name="SD_3946x1_516_S_1" localSheetId="5" hidden="1">'NOFA 2021-5 (HOME)'!$E$30</definedName>
    <definedName name="SD_3946x1_518_B_1" localSheetId="4" hidden="1">'NOFA 2021-4 (9% LIHTC)'!$E$48</definedName>
    <definedName name="SD_4270x1_149_G_0" localSheetId="9" hidden="1">Prolink!$F$2</definedName>
    <definedName name="SD_4270x1_4371x1_1_G_0" localSheetId="9" hidden="1">Prolink!$F$4</definedName>
    <definedName name="SD_4270x1_4371x1_146_S_0" localSheetId="3" hidden="1">'NOFA 2021-2 (LIFT)'!$D$11</definedName>
    <definedName name="SD_4270x1_4371x1_4606x1_5_S_1" localSheetId="9" hidden="1">Prolink!$F$107</definedName>
    <definedName name="SD_4270x1_4371x1_4606x1_6_S_1" localSheetId="9" hidden="1">Prolink!$F$109</definedName>
    <definedName name="SD_4270x1_4371x1_4606x1_8_S_0" localSheetId="9" hidden="1">Prolink!$F$108</definedName>
    <definedName name="SD_4270x1_4371x1_4606x10_5_S_1" localSheetId="9" hidden="1">Prolink!$F$134</definedName>
    <definedName name="SD_4270x1_4371x1_4606x10_6_S_1" localSheetId="9" hidden="1">Prolink!$F$136</definedName>
    <definedName name="SD_4270x1_4371x1_4606x10_8_S_0" localSheetId="9" hidden="1">Prolink!$F$135</definedName>
    <definedName name="SD_4270x1_4371x1_4606x11_5_S_1" localSheetId="9" hidden="1">Prolink!$F$137</definedName>
    <definedName name="SD_4270x1_4371x1_4606x11_6_S_1" localSheetId="9" hidden="1">Prolink!$F$139</definedName>
    <definedName name="SD_4270x1_4371x1_4606x11_8_S_0" localSheetId="9" hidden="1">Prolink!$F$138</definedName>
    <definedName name="SD_4270x1_4371x1_4606x12_5_S_1" localSheetId="9" hidden="1">Prolink!$F$140</definedName>
    <definedName name="SD_4270x1_4371x1_4606x12_6_S_1" localSheetId="9" hidden="1">Prolink!$F$142</definedName>
    <definedName name="SD_4270x1_4371x1_4606x12_8_S_0" localSheetId="9" hidden="1">Prolink!$F$141</definedName>
    <definedName name="SD_4270x1_4371x1_4606x13_5_S_1" localSheetId="9" hidden="1">Prolink!$F$143</definedName>
    <definedName name="SD_4270x1_4371x1_4606x13_6_S_1" localSheetId="9" hidden="1">Prolink!$F$145</definedName>
    <definedName name="SD_4270x1_4371x1_4606x13_8_S_0" localSheetId="9" hidden="1">Prolink!$F$144</definedName>
    <definedName name="SD_4270x1_4371x1_4606x14_5_S_1" localSheetId="9" hidden="1">Prolink!$F$146</definedName>
    <definedName name="SD_4270x1_4371x1_4606x14_6_S_1" localSheetId="9" hidden="1">Prolink!$F$148</definedName>
    <definedName name="SD_4270x1_4371x1_4606x14_8_S_0" localSheetId="9" hidden="1">Prolink!$F$147</definedName>
    <definedName name="SD_4270x1_4371x1_4606x15_5_S_1" localSheetId="9" hidden="1">Prolink!$F$149</definedName>
    <definedName name="SD_4270x1_4371x1_4606x15_6_S_1" localSheetId="9" hidden="1">Prolink!$F$151</definedName>
    <definedName name="SD_4270x1_4371x1_4606x15_8_S_0" localSheetId="9" hidden="1">Prolink!$F$150</definedName>
    <definedName name="SD_4270x1_4371x1_4606x16_5_S_1" localSheetId="9" hidden="1">Prolink!$F$152</definedName>
    <definedName name="SD_4270x1_4371x1_4606x16_6_S_1" localSheetId="9" hidden="1">Prolink!$F$154</definedName>
    <definedName name="SD_4270x1_4371x1_4606x16_8_S_0" localSheetId="9" hidden="1">Prolink!$F$153</definedName>
    <definedName name="SD_4270x1_4371x1_4606x17_5_S_1" localSheetId="9" hidden="1">Prolink!$F$155</definedName>
    <definedName name="SD_4270x1_4371x1_4606x17_6_S_1" localSheetId="9" hidden="1">Prolink!$F$157</definedName>
    <definedName name="SD_4270x1_4371x1_4606x17_8_S_0" localSheetId="9" hidden="1">Prolink!$F$156</definedName>
    <definedName name="SD_4270x1_4371x1_4606x18_5_S_1" localSheetId="9" hidden="1">Prolink!$F$158</definedName>
    <definedName name="SD_4270x1_4371x1_4606x18_6_S_1" localSheetId="9" hidden="1">Prolink!$F$160</definedName>
    <definedName name="SD_4270x1_4371x1_4606x18_8_S_0" localSheetId="9" hidden="1">Prolink!$F$159</definedName>
    <definedName name="SD_4270x1_4371x1_4606x19_5_S_1" localSheetId="9" hidden="1">Prolink!$F$161</definedName>
    <definedName name="SD_4270x1_4371x1_4606x19_6_S_1" localSheetId="9" hidden="1">Prolink!$F$163</definedName>
    <definedName name="SD_4270x1_4371x1_4606x19_8_S_0" localSheetId="9" hidden="1">Prolink!$F$162</definedName>
    <definedName name="SD_4270x1_4371x1_4606x2_5_S_1" localSheetId="9" hidden="1">Prolink!$F$110</definedName>
    <definedName name="SD_4270x1_4371x1_4606x2_6_S_1" localSheetId="9" hidden="1">Prolink!$F$112</definedName>
    <definedName name="SD_4270x1_4371x1_4606x2_8_S_0" localSheetId="9" hidden="1">Prolink!$F$111</definedName>
    <definedName name="SD_4270x1_4371x1_4606x20_5_S_1" localSheetId="9" hidden="1">Prolink!$F$164</definedName>
    <definedName name="SD_4270x1_4371x1_4606x20_6_S_1" localSheetId="9" hidden="1">Prolink!$F$166</definedName>
    <definedName name="SD_4270x1_4371x1_4606x20_8_S_0" localSheetId="9" hidden="1">Prolink!$F$165</definedName>
    <definedName name="SD_4270x1_4371x1_4606x21_5_S_1" localSheetId="9" hidden="1">Prolink!$F$167</definedName>
    <definedName name="SD_4270x1_4371x1_4606x21_6_S_1" localSheetId="9" hidden="1">Prolink!$F$169</definedName>
    <definedName name="SD_4270x1_4371x1_4606x21_8_S_0" localSheetId="9" hidden="1">Prolink!$F$168</definedName>
    <definedName name="SD_4270x1_4371x1_4606x22_5_S_1" localSheetId="9" hidden="1">Prolink!$F$170</definedName>
    <definedName name="SD_4270x1_4371x1_4606x22_6_S_1" localSheetId="9" hidden="1">Prolink!$F$172</definedName>
    <definedName name="SD_4270x1_4371x1_4606x22_8_S_0" localSheetId="9" hidden="1">Prolink!$F$171</definedName>
    <definedName name="SD_4270x1_4371x1_4606x23_5_S_1" localSheetId="9" hidden="1">Prolink!$F$173</definedName>
    <definedName name="SD_4270x1_4371x1_4606x23_6_S_1" localSheetId="9" hidden="1">Prolink!$F$175</definedName>
    <definedName name="SD_4270x1_4371x1_4606x23_8_S_0" localSheetId="9" hidden="1">Prolink!$F$174</definedName>
    <definedName name="SD_4270x1_4371x1_4606x24_5_S_1" localSheetId="9" hidden="1">Prolink!$F$176</definedName>
    <definedName name="SD_4270x1_4371x1_4606x24_6_S_1" localSheetId="9" hidden="1">Prolink!$F$178</definedName>
    <definedName name="SD_4270x1_4371x1_4606x24_8_S_0" localSheetId="9" hidden="1">Prolink!$F$177</definedName>
    <definedName name="SD_4270x1_4371x1_4606x25_5_S_1" localSheetId="9" hidden="1">Prolink!$F$179</definedName>
    <definedName name="SD_4270x1_4371x1_4606x25_6_S_1" localSheetId="9" hidden="1">Prolink!$F$181</definedName>
    <definedName name="SD_4270x1_4371x1_4606x25_8_S_0" localSheetId="9" hidden="1">Prolink!$F$180</definedName>
    <definedName name="SD_4270x1_4371x1_4606x26_5_S_1" localSheetId="9" hidden="1">Prolink!$F$182</definedName>
    <definedName name="SD_4270x1_4371x1_4606x26_6_S_1" localSheetId="9" hidden="1">Prolink!$F$184</definedName>
    <definedName name="SD_4270x1_4371x1_4606x26_8_S_0" localSheetId="9" hidden="1">Prolink!$F$183</definedName>
    <definedName name="SD_4270x1_4371x1_4606x27_5_S_1" localSheetId="9" hidden="1">Prolink!$F$185</definedName>
    <definedName name="SD_4270x1_4371x1_4606x27_6_S_1" localSheetId="9" hidden="1">Prolink!$F$187</definedName>
    <definedName name="SD_4270x1_4371x1_4606x27_8_S_0" localSheetId="9" hidden="1">Prolink!$F$186</definedName>
    <definedName name="SD_4270x1_4371x1_4606x28_5_S_1" localSheetId="9" hidden="1">Prolink!$F$188</definedName>
    <definedName name="SD_4270x1_4371x1_4606x28_6_S_1" localSheetId="9" hidden="1">Prolink!$F$190</definedName>
    <definedName name="SD_4270x1_4371x1_4606x28_8_S_0" localSheetId="9" hidden="1">Prolink!$F$189</definedName>
    <definedName name="SD_4270x1_4371x1_4606x29_5_S_1" localSheetId="9" hidden="1">Prolink!$F$191</definedName>
    <definedName name="SD_4270x1_4371x1_4606x29_6_S_1" localSheetId="9" hidden="1">Prolink!$F$193</definedName>
    <definedName name="SD_4270x1_4371x1_4606x29_8_S_0" localSheetId="9" hidden="1">Prolink!$F$192</definedName>
    <definedName name="SD_4270x1_4371x1_4606x3_5_S_1" localSheetId="9" hidden="1">Prolink!$F$113</definedName>
    <definedName name="SD_4270x1_4371x1_4606x3_6_S_1" localSheetId="9" hidden="1">Prolink!$F$115</definedName>
    <definedName name="SD_4270x1_4371x1_4606x3_8_S_0" localSheetId="9" hidden="1">Prolink!$F$114</definedName>
    <definedName name="SD_4270x1_4371x1_4606x30_5_S_1" localSheetId="9" hidden="1">Prolink!$F$194</definedName>
    <definedName name="SD_4270x1_4371x1_4606x30_6_S_1" localSheetId="9" hidden="1">Prolink!$F$196</definedName>
    <definedName name="SD_4270x1_4371x1_4606x30_8_S_0" localSheetId="9" hidden="1">Prolink!$F$195</definedName>
    <definedName name="SD_4270x1_4371x1_4606x4_5_S_1" localSheetId="9" hidden="1">Prolink!$F$116</definedName>
    <definedName name="SD_4270x1_4371x1_4606x4_6_S_1" localSheetId="9" hidden="1">Prolink!$F$118</definedName>
    <definedName name="SD_4270x1_4371x1_4606x4_8_S_0" localSheetId="9" hidden="1">Prolink!$F$117</definedName>
    <definedName name="SD_4270x1_4371x1_4606x5_5_S_1" localSheetId="9" hidden="1">Prolink!$F$119</definedName>
    <definedName name="SD_4270x1_4371x1_4606x5_6_S_1" localSheetId="9" hidden="1">Prolink!$F$121</definedName>
    <definedName name="SD_4270x1_4371x1_4606x5_8_S_0" localSheetId="9" hidden="1">Prolink!$F$120</definedName>
    <definedName name="SD_4270x1_4371x1_4606x6_5_S_1" localSheetId="9" hidden="1">Prolink!$F$122</definedName>
    <definedName name="SD_4270x1_4371x1_4606x6_6_S_1" localSheetId="9" hidden="1">Prolink!$F$124</definedName>
    <definedName name="SD_4270x1_4371x1_4606x6_8_S_0" localSheetId="9" hidden="1">Prolink!$F$123</definedName>
    <definedName name="SD_4270x1_4371x1_4606x7_5_S_1" localSheetId="9" hidden="1">Prolink!$F$125</definedName>
    <definedName name="SD_4270x1_4371x1_4606x7_6_S_1" localSheetId="9" hidden="1">Prolink!$F$127</definedName>
    <definedName name="SD_4270x1_4371x1_4606x7_8_S_0" localSheetId="9" hidden="1">Prolink!$F$126</definedName>
    <definedName name="SD_4270x1_4371x1_4606x8_5_S_1" localSheetId="9" hidden="1">Prolink!$F$128</definedName>
    <definedName name="SD_4270x1_4371x1_4606x8_6_S_1" localSheetId="9" hidden="1">Prolink!$F$130</definedName>
    <definedName name="SD_4270x1_4371x1_4606x8_8_S_0" localSheetId="9" hidden="1">Prolink!$F$129</definedName>
    <definedName name="SD_4270x1_4371x1_4606x9_5_S_1" localSheetId="9" hidden="1">Prolink!$F$131</definedName>
    <definedName name="SD_4270x1_4371x1_4606x9_6_S_1" localSheetId="9" hidden="1">Prolink!$F$133</definedName>
    <definedName name="SD_4270x1_4371x1_4606x9_8_S_0" localSheetId="9" hidden="1">Prolink!$F$132</definedName>
    <definedName name="SD_50_S_0" localSheetId="1" hidden="1">'Project Input'!$D$6</definedName>
    <definedName name="SD_8055x1_10_S_0" localSheetId="9" hidden="1">Prolink!$F$45</definedName>
    <definedName name="SD_8055x1_11_S_0" localSheetId="9" hidden="1">Prolink!$F$46</definedName>
    <definedName name="SD_8055x1_12_S_1" localSheetId="9" hidden="1">Prolink!$F$44</definedName>
    <definedName name="SD_8055x1_13_S_1" localSheetId="9" hidden="1">Prolink!$F$38</definedName>
    <definedName name="SD_8055x1_14_S_0" localSheetId="9" hidden="1">Prolink!$F$47</definedName>
    <definedName name="SD_8055x1_15_S_0" localSheetId="9" hidden="1">Prolink!$F$40</definedName>
    <definedName name="SD_8055x1_19_S_0" localSheetId="9" hidden="1">Prolink!$F$48</definedName>
    <definedName name="SD_8055x1_20_S_0" localSheetId="9" hidden="1">Prolink!$F$43</definedName>
    <definedName name="SD_8055x1_21_S_0" localSheetId="9" hidden="1">Prolink!$F$42</definedName>
    <definedName name="SD_8055x1_23_S_0" localSheetId="9" hidden="1">Prolink!$F$41</definedName>
    <definedName name="SD_8055x1_24_S_1" localSheetId="9" hidden="1">Prolink!$F$39</definedName>
    <definedName name="SD_8055x2_10_S_0" localSheetId="9" hidden="1">Prolink!$F$56</definedName>
    <definedName name="SD_8055x2_11_S_0" localSheetId="9" hidden="1">Prolink!$F$57</definedName>
    <definedName name="SD_8055x2_12_S_1" localSheetId="9" hidden="1">Prolink!$F$55</definedName>
    <definedName name="SD_8055x2_13_S_1" localSheetId="9" hidden="1">Prolink!$F$49</definedName>
    <definedName name="SD_8055x2_14_S_0" localSheetId="9" hidden="1">Prolink!$F$58</definedName>
    <definedName name="SD_8055x2_15_S_0" localSheetId="9" hidden="1">Prolink!$F$51</definedName>
    <definedName name="SD_8055x2_19_S_0" localSheetId="9" hidden="1">Prolink!$F$59</definedName>
    <definedName name="SD_8055x2_20_S_0" localSheetId="9" hidden="1">Prolink!$F$54</definedName>
    <definedName name="SD_8055x2_21_S_0" localSheetId="9" hidden="1">Prolink!$F$53</definedName>
    <definedName name="SD_8055x2_23_S_0" localSheetId="9" hidden="1">Prolink!$F$52</definedName>
    <definedName name="SD_8055x2_24_S_1" localSheetId="9" hidden="1">Prolink!$F$50</definedName>
    <definedName name="SD_8055x3_10_S_0" localSheetId="9" hidden="1">Prolink!$F$67</definedName>
    <definedName name="SD_8055x3_11_S_0" localSheetId="9" hidden="1">Prolink!$F$68</definedName>
    <definedName name="SD_8055x3_12_S_1" localSheetId="9" hidden="1">Prolink!$F$66</definedName>
    <definedName name="SD_8055x3_13_S_1" localSheetId="9" hidden="1">Prolink!$F$60</definedName>
    <definedName name="SD_8055x3_14_S_0" localSheetId="9" hidden="1">Prolink!$F$69</definedName>
    <definedName name="SD_8055x3_15_S_0" localSheetId="9" hidden="1">Prolink!$F$62</definedName>
    <definedName name="SD_8055x3_19_S_0" localSheetId="9" hidden="1">Prolink!$F$70</definedName>
    <definedName name="SD_8055x3_20_S_0" localSheetId="9" hidden="1">Prolink!$F$65</definedName>
    <definedName name="SD_8055x3_21_S_0" localSheetId="9" hidden="1">Prolink!$F$64</definedName>
    <definedName name="SD_8055x3_23_S_0" localSheetId="9" hidden="1">Prolink!$F$63</definedName>
    <definedName name="SD_8055x3_24_S_1" localSheetId="9" hidden="1">Prolink!$F$61</definedName>
    <definedName name="SD_8055x4_10_S_0" localSheetId="9" hidden="1">Prolink!$F$79</definedName>
    <definedName name="SD_8055x4_11_S_0" localSheetId="9" hidden="1">Prolink!$F$80</definedName>
    <definedName name="SD_8055x4_12_S_1" localSheetId="9" hidden="1">Prolink!$F$78</definedName>
    <definedName name="SD_8055x4_13_S_1" localSheetId="9" hidden="1">Prolink!$F$71</definedName>
    <definedName name="SD_8055x4_14_S_0" localSheetId="9" hidden="1">Prolink!$F$81</definedName>
    <definedName name="SD_8055x4_15_S_0" localSheetId="9" hidden="1">Prolink!$F$74</definedName>
    <definedName name="SD_8055x4_19_S_0" localSheetId="9" hidden="1">Prolink!$F$82</definedName>
    <definedName name="SD_8055x4_20_S_0" localSheetId="9" hidden="1">Prolink!$F$77</definedName>
    <definedName name="SD_8055x4_21_S_0" localSheetId="9" hidden="1">Prolink!$F$76</definedName>
    <definedName name="SD_8055x4_23_S_0" localSheetId="9" hidden="1">Prolink!$F$75</definedName>
    <definedName name="SD_8055x4_24_S_1" localSheetId="9" hidden="1">Prolink!$F$72</definedName>
    <definedName name="SD_8055x5_10_S_0" localSheetId="9" hidden="1">Prolink!$F$91</definedName>
    <definedName name="SD_8055x5_11_S_0" localSheetId="9" hidden="1">Prolink!$F$92</definedName>
    <definedName name="SD_8055x5_12_S_1" localSheetId="9" hidden="1">Prolink!$F$90</definedName>
    <definedName name="SD_8055x5_13_S_1" localSheetId="9" hidden="1">Prolink!$F$83</definedName>
    <definedName name="SD_8055x5_14_S_0" localSheetId="9" hidden="1">Prolink!$F$93</definedName>
    <definedName name="SD_8055x5_15_S_0" localSheetId="9" hidden="1">Prolink!$F$86</definedName>
    <definedName name="SD_8055x5_19_S_0" localSheetId="9" hidden="1">Prolink!$F$94</definedName>
    <definedName name="SD_8055x5_20_S_0" localSheetId="9" hidden="1">Prolink!$F$89</definedName>
    <definedName name="SD_8055x5_21_S_0" localSheetId="9" hidden="1">Prolink!$F$88</definedName>
    <definedName name="SD_8055x5_23_S_0" localSheetId="9" hidden="1">Prolink!$F$87</definedName>
    <definedName name="SD_8055x5_24_S_1" localSheetId="9" hidden="1">Prolink!$F$84</definedName>
    <definedName name="SD_8055x6_10_S_0" localSheetId="9" hidden="1">Prolink!$F$103</definedName>
    <definedName name="SD_8055x6_11_S_0" localSheetId="9" hidden="1">Prolink!$F$104</definedName>
    <definedName name="SD_8055x6_12_S_1" localSheetId="9" hidden="1">Prolink!$F$102</definedName>
    <definedName name="SD_8055x6_13_S_1" localSheetId="9" hidden="1">Prolink!$F$95</definedName>
    <definedName name="SD_8055x6_14_S_0" localSheetId="9" hidden="1">Prolink!$F$105</definedName>
    <definedName name="SD_8055x6_15_S_0" localSheetId="9" hidden="1">Prolink!$F$98</definedName>
    <definedName name="SD_8055x6_19_S_0" localSheetId="9" hidden="1">Prolink!$F$106</definedName>
    <definedName name="SD_8055x6_20_S_0" localSheetId="9" hidden="1">Prolink!$F$101</definedName>
    <definedName name="SD_8055x6_21_S_0" localSheetId="9" hidden="1">Prolink!$F$100</definedName>
    <definedName name="SD_8055x6_23_S_0" localSheetId="9" hidden="1">Prolink!$F$99</definedName>
    <definedName name="SD_8055x6_24_S_1" localSheetId="9" hidden="1">Prolink!$F$96</definedName>
    <definedName name="SD_D_PL_DealEntityRole" hidden="1">SD_Dropdowns!$EC$2:$ED$46</definedName>
    <definedName name="SD_D_PL_DealEntityRole_Name" hidden="1">SD_Dropdowns!$EC$2:$EC$46</definedName>
    <definedName name="SD_D_PL_DealEntityRole_Value" hidden="1">SD_Dropdowns!$ED$2:$ED$46</definedName>
    <definedName name="SD_D_PL_EntityCompanyOrIndividual" hidden="1">SD_Dropdowns!$EA$2:$EB$4</definedName>
    <definedName name="SD_D_PL_EntityCompanyOrIndividual_Name" hidden="1">SD_Dropdowns!$EA$2:$EA$4</definedName>
    <definedName name="SD_D_PL_EntityCompanyOrIndividual_Value" hidden="1">SD_Dropdowns!$EB$2:$EB$4</definedName>
    <definedName name="SD_D_PL_FundingOpportunity" hidden="1">SD_Dropdowns!$DG$2:$DH$45</definedName>
    <definedName name="SD_D_PL_FundingOpportunity_Name" hidden="1">SD_Dropdowns!$DG$2:$DG$45</definedName>
    <definedName name="SD_D_PL_FundingOpportunity_Value" hidden="1">SD_Dropdowns!$DH$2:$DH$45</definedName>
    <definedName name="SD_D_PL_IncomeTarget" hidden="1">SD_Dropdowns!$DW$2:$DX$10</definedName>
    <definedName name="SD_D_PL_IncomeTarget_Name" hidden="1">SD_Dropdowns!$DW$2:$DW$10</definedName>
    <definedName name="SD_D_PL_IncomeTarget_Value" hidden="1">SD_Dropdowns!$DX$2:$DX$10</definedName>
    <definedName name="SD_D_PL_Jurisdiction" hidden="1">SD_Dropdowns!$DE$2:$DF$38</definedName>
    <definedName name="SD_D_PL_Jurisdiction_Name" hidden="1">SD_Dropdowns!$DE$2:$DE$38</definedName>
    <definedName name="SD_D_PL_Jurisdiction_Value" hidden="1">SD_Dropdowns!$DF$2:$DF$38</definedName>
    <definedName name="SD_D_PL_State" hidden="1">SD_Dropdowns!$DY$2:$DZ$53</definedName>
    <definedName name="SD_D_PL_State_Name" hidden="1">SD_Dropdowns!$DY$2:$DY$53</definedName>
    <definedName name="SD_D_PL_State_Value" hidden="1">SD_Dropdowns!$DZ$2:$DZ$53</definedName>
    <definedName name="SD_D_PL_TCUnitMixType" hidden="1">SD_Dropdowns!$DU$2:$DV$10</definedName>
    <definedName name="SD_D_PL_TCUnitMixType_Name" hidden="1">SD_Dropdowns!$DU$2:$DU$10</definedName>
    <definedName name="SD_D_PL_TCUnitMixType_Value" hidden="1">SD_Dropdowns!$DV$2:$DV$10</definedName>
    <definedName name="SD_D_PL_UDF_257" hidden="1">SD_Dropdowns!$AO$2:$AP$14</definedName>
    <definedName name="SD_D_PL_UDF_257_Name" hidden="1">SD_Dropdowns!$AO$2:$AO$14</definedName>
    <definedName name="SD_D_PL_UDF_257_Value" hidden="1">SD_Dropdowns!$AP$2:$AP$14</definedName>
    <definedName name="SD_D_PL_UDF_258" hidden="1">SD_Dropdowns!$DI$2:$DJ$32</definedName>
    <definedName name="SD_D_PL_UDF_258_Name" hidden="1">SD_Dropdowns!$DI$2:$DI$32</definedName>
    <definedName name="SD_D_PL_UDF_258_Value" hidden="1">SD_Dropdowns!$DJ$2:$DJ$32</definedName>
    <definedName name="SD_D_PL_UDF_259" hidden="1">SD_Dropdowns!$DK$2:$DL$63</definedName>
    <definedName name="SD_D_PL_UDF_259_Name" hidden="1">SD_Dropdowns!$DK$2:$DK$63</definedName>
    <definedName name="SD_D_PL_UDF_259_Value" hidden="1">SD_Dropdowns!$DL$2:$DL$63</definedName>
    <definedName name="SD_D_PL_UDF_460" hidden="1">SD_Dropdowns!$DM$2:$DN$7</definedName>
    <definedName name="SD_D_PL_UDF_460_Name" hidden="1">SD_Dropdowns!$DM$2:$DM$7</definedName>
    <definedName name="SD_D_PL_UDF_460_Value" hidden="1">SD_Dropdowns!$DN$2:$DN$7</definedName>
    <definedName name="SD_D_PL_UDF_484" hidden="1">SD_Dropdowns!$DO$2:$DP$4</definedName>
    <definedName name="SD_D_PL_UDF_484_Name" hidden="1">SD_Dropdowns!$DO$2:$DO$4</definedName>
    <definedName name="SD_D_PL_UDF_484_Value" hidden="1">SD_Dropdowns!$DP$2:$DP$4</definedName>
    <definedName name="SD_D_PL_UDF_491" hidden="1">SD_Dropdowns!$DQ$2:$DR$5</definedName>
    <definedName name="SD_D_PL_UDF_491_Name" hidden="1">SD_Dropdowns!$DQ$2:$DQ$5</definedName>
    <definedName name="SD_D_PL_UDF_491_Value" hidden="1">SD_Dropdowns!$DR$2:$DR$5</definedName>
    <definedName name="SD_D_PL_UDF_516" hidden="1">SD_Dropdowns!$DS$2:$DT$4</definedName>
    <definedName name="SD_D_PL_UDF_516_Name" hidden="1">SD_Dropdowns!$DS$2:$DS$4</definedName>
    <definedName name="SD_D_PL_UDF_516_Value" hidden="1">SD_Dropdowns!$DT$2:$DT$4</definedName>
    <definedName name="SD_D_PL_UDF_518" hidden="1">SD_Dropdowns!$EE$2:$EF$6</definedName>
    <definedName name="SD_D_PL_UDF_518_Name" hidden="1">SD_Dropdowns!$EE$2:$EE$6</definedName>
    <definedName name="SD_D_PL_UDF_518_Value" hidden="1">SD_Dropdowns!$EF$2:$EF$6</definedName>
    <definedName name="Series1_Address_1">[1]Prolink!$E$241</definedName>
    <definedName name="Series1_City">[1]Prolink!$E$242</definedName>
    <definedName name="Series1_County">[1]Prolink!$E$243</definedName>
    <definedName name="Series1_Deal_Entity_Role">[1]Prolink!$E$239</definedName>
    <definedName name="Series1_Direct_Phone">[1]Prolink!$E$247</definedName>
    <definedName name="Series1_Email_Address_1">[1]Prolink!$E$248</definedName>
    <definedName name="Series1_Name__Doing_Business_As">[1]Prolink!$E$240</definedName>
    <definedName name="Series1_State">[1]Prolink!$E$244</definedName>
    <definedName name="Series1_Tax_ID_Number">[1]Prolink!$E$246</definedName>
    <definedName name="Series1_Zip_Code">[1]Prolink!$E$245</definedName>
    <definedName name="Series2_Address_1">[1]Prolink!$E$252</definedName>
    <definedName name="Series2_City">[1]Prolink!$E$253</definedName>
    <definedName name="Series2_County">[1]Prolink!$E$254</definedName>
    <definedName name="Series2_Deal_Entity_Role">[1]Prolink!$E$250</definedName>
    <definedName name="Series2_Direct_Phone">[1]Prolink!$E$258</definedName>
    <definedName name="Series2_Email_Address_1">[1]Prolink!$E$259</definedName>
    <definedName name="Series2_Name__Doing_Business_As">[1]Prolink!$E$251</definedName>
    <definedName name="Series2_State">[1]Prolink!$E$255</definedName>
    <definedName name="Series2_Tax_ID_Number">[1]Prolink!$E$257</definedName>
    <definedName name="Series2_Zip_Code">[1]Prolink!$E$256</definedName>
    <definedName name="Series3_Address_1">[1]Prolink!$E$263</definedName>
    <definedName name="Series3_City">[1]Prolink!$E$264</definedName>
    <definedName name="Series3_County">[1]Prolink!$E$265</definedName>
    <definedName name="Series3_Deal_Entity_Role">[1]Prolink!$E$261</definedName>
    <definedName name="Series3_Direct_Phone">[1]Prolink!$E$269</definedName>
    <definedName name="Series3_Email_Address_1">[1]Prolink!$E$270</definedName>
    <definedName name="Series3_Name__Doing_Business_As">[1]Prolink!$E$262</definedName>
    <definedName name="Series3_State">[1]Prolink!$E$266</definedName>
    <definedName name="Series3_Tax_ID_Number">[1]Prolink!$E$268</definedName>
    <definedName name="Series3_Zip_Code">[1]Prolink!$E$267</definedName>
    <definedName name="Series4_Address_1">[1]Prolink!$E$274</definedName>
    <definedName name="Series4_City">[1]Prolink!$E$275</definedName>
    <definedName name="Series4_County">[1]Prolink!$E$276</definedName>
    <definedName name="Series4_Deal_Entity_Role">[1]Prolink!$E$272</definedName>
    <definedName name="Series4_Direct_Phone">[1]Prolink!$E$280</definedName>
    <definedName name="Series4_Email_Address_1">[1]Prolink!$E$281</definedName>
    <definedName name="Series4_Name__Doing_Business_As">[1]Prolink!$E$273</definedName>
    <definedName name="Series4_State">[1]Prolink!$E$277</definedName>
    <definedName name="Series4_Tax_ID_Number">[1]Prolink!$E$279</definedName>
    <definedName name="Series4_Zip_Code">[1]Prolink!$E$278</definedName>
    <definedName name="Series5_Address_1">[1]Prolink!$E$285</definedName>
    <definedName name="Series5_City">[1]Prolink!$E$286</definedName>
    <definedName name="Series5_County">[1]Prolink!$E$287</definedName>
    <definedName name="Series5_Deal_Entity_Role">[1]Prolink!$E$283</definedName>
    <definedName name="Series5_Direct_Phone">[1]Prolink!$E$291</definedName>
    <definedName name="Series5_Email_Address_1">[1]Prolink!$E$292</definedName>
    <definedName name="Series5_Name__Doing_Business_As">[1]Prolink!$E$284</definedName>
    <definedName name="Series5_State">[1]Prolink!$E$288</definedName>
    <definedName name="Series5_Tax_ID_Number">[1]Prolink!$E$290</definedName>
    <definedName name="Series5_Zip_Code">[1]Prolink!$E$289</definedName>
    <definedName name="Series6_Address_1">[1]Prolink!$E$296</definedName>
    <definedName name="Series6_City">[1]Prolink!$E$297</definedName>
    <definedName name="Series6_County">[1]Prolink!$E$298</definedName>
    <definedName name="Series6_Deal_Entity_Role">[1]Prolink!$E$294</definedName>
    <definedName name="Series6_Direct_Phone">[1]Prolink!$E$302</definedName>
    <definedName name="Series6_Email_Address_1">[1]Prolink!$E$303</definedName>
    <definedName name="Series6_Name__Doing_Business_As">[1]Prolink!$E$295</definedName>
    <definedName name="Series6_State">[1]Prolink!$E$299</definedName>
    <definedName name="Series6_Tax_ID_Number">[1]Prolink!$E$301</definedName>
    <definedName name="Series6_Zip_Code">[1]Prolink!$E$300</definedName>
    <definedName name="Site_A_Census">'Project Input'!$D$27</definedName>
    <definedName name="Site_A_Congress">'Project Input'!$D$26</definedName>
    <definedName name="Site_A_House">'Project Input'!$D$25</definedName>
    <definedName name="Site_A_Senate">'Project Input'!$D$24</definedName>
    <definedName name="SiteA_Address__be_specific">'Project Input'!$D$16</definedName>
    <definedName name="SiteA_City_or_Township">'Project Input'!$D$17</definedName>
    <definedName name="SiteA_County">'Project Input'!$D$21</definedName>
    <definedName name="SiteA_Zip_Code__First_5_Digits">'Project Input'!$D$19</definedName>
    <definedName name="SiteB_Address">'Project Input'!$I$16</definedName>
    <definedName name="SiteB_City">'Project Input'!$I$17</definedName>
    <definedName name="SiteB_County">'Project Input'!$I$21</definedName>
    <definedName name="SiteB_Zip">'Project Input'!$I$19</definedName>
    <definedName name="SiteC_Address">'Project Input'!$M$16</definedName>
    <definedName name="SiteC_City">'Project Input'!$M$17</definedName>
    <definedName name="SiteC_County">'Project Input'!$M$21</definedName>
    <definedName name="SiteC_Zip">'Project Input'!$M$19</definedName>
    <definedName name="SiteCount">Prolink!$F$13</definedName>
    <definedName name="SiteD_Address">'Project Input'!$Q$16</definedName>
    <definedName name="SiteD_City">'Project Input'!$Q$17</definedName>
    <definedName name="SiteD_County">'Project Input'!$Q$21</definedName>
    <definedName name="SiteD_Zip">'Project Input'!$Q$19</definedName>
    <definedName name="SiteE_Address">'Project Input'!$U$16</definedName>
    <definedName name="SiteE_City">'Project Input'!$U$17</definedName>
    <definedName name="SiteE_County">'Project Input'!$U$21</definedName>
    <definedName name="SiteE_Zip">'Project Input'!$U$19</definedName>
    <definedName name="SiteF_Address">'Project Input'!$Y$16</definedName>
    <definedName name="SiteF_City">'Project Input'!$Y$17</definedName>
    <definedName name="SiteF_County">'Project Input'!$Y$21</definedName>
    <definedName name="SiteF_Zip">'Project Input'!$Y$19</definedName>
    <definedName name="TCA_Number">Prolink!$F$4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0" i="11" l="1"/>
  <c r="F208" i="11"/>
  <c r="F206" i="11"/>
  <c r="E210" i="11"/>
  <c r="E209" i="11"/>
  <c r="F209" i="11" s="1"/>
  <c r="E208" i="11"/>
  <c r="E207" i="11"/>
  <c r="F207" i="11" s="1"/>
  <c r="E206" i="11"/>
  <c r="E205" i="11"/>
  <c r="F205" i="11" s="1"/>
  <c r="D28" i="5"/>
  <c r="F107" i="11"/>
  <c r="I48" i="5" l="1"/>
  <c r="H48" i="5"/>
  <c r="G48" i="5"/>
  <c r="F48" i="5"/>
  <c r="E48" i="5"/>
  <c r="D48" i="5"/>
  <c r="J47" i="5"/>
  <c r="J46" i="5"/>
  <c r="J45" i="5"/>
  <c r="J44" i="5"/>
  <c r="J43" i="5"/>
  <c r="D8" i="16" l="1"/>
  <c r="J48" i="5"/>
  <c r="D14" i="7" s="1"/>
  <c r="A3" i="16"/>
  <c r="E13" i="3" l="1"/>
  <c r="G27" i="13"/>
  <c r="E27" i="13"/>
  <c r="F27" i="13"/>
  <c r="H27" i="13"/>
  <c r="I27" i="13"/>
  <c r="J27" i="13"/>
  <c r="E14" i="13"/>
  <c r="E15" i="13"/>
  <c r="D10" i="5"/>
  <c r="K26" i="13"/>
  <c r="K25" i="13"/>
  <c r="K24" i="13"/>
  <c r="K23" i="13"/>
  <c r="K22" i="13"/>
  <c r="K27" i="13"/>
  <c r="E31" i="12"/>
  <c r="K27" i="12"/>
  <c r="K28" i="12"/>
  <c r="K29" i="12"/>
  <c r="K30" i="12"/>
  <c r="K26" i="12"/>
  <c r="H90" i="3"/>
  <c r="E90" i="3"/>
  <c r="H88" i="3"/>
  <c r="E88" i="3"/>
  <c r="E87" i="3"/>
  <c r="F102" i="11" s="1"/>
  <c r="E86" i="3"/>
  <c r="E85" i="3"/>
  <c r="F99" i="11" s="1"/>
  <c r="E84" i="3"/>
  <c r="F96" i="11" s="1"/>
  <c r="E77" i="3"/>
  <c r="H75" i="3"/>
  <c r="E75" i="3"/>
  <c r="H74" i="3"/>
  <c r="E74" i="3"/>
  <c r="F90" i="11" s="1"/>
  <c r="E73" i="3"/>
  <c r="F89" i="11" s="1"/>
  <c r="E72" i="3"/>
  <c r="F88" i="11" s="1"/>
  <c r="E71" i="3"/>
  <c r="E70" i="3"/>
  <c r="F84" i="11" s="1"/>
  <c r="E62" i="3"/>
  <c r="H61" i="3"/>
  <c r="E60" i="3"/>
  <c r="H59" i="3"/>
  <c r="F81" i="11" s="1"/>
  <c r="E59" i="3"/>
  <c r="F78" i="11" s="1"/>
  <c r="E58" i="3"/>
  <c r="F77" i="11" s="1"/>
  <c r="E57" i="3"/>
  <c r="F76" i="11" s="1"/>
  <c r="E56" i="3"/>
  <c r="F75" i="11" s="1"/>
  <c r="E55" i="3"/>
  <c r="F72" i="11" s="1"/>
  <c r="E30" i="3"/>
  <c r="E44" i="3"/>
  <c r="E29" i="3"/>
  <c r="E43" i="3"/>
  <c r="F67" i="11" s="1"/>
  <c r="E42" i="3"/>
  <c r="F66" i="11" s="1"/>
  <c r="E41" i="3"/>
  <c r="F65" i="11" s="1"/>
  <c r="E40" i="3"/>
  <c r="F64" i="11" s="1"/>
  <c r="E39" i="3"/>
  <c r="F63" i="11" s="1"/>
  <c r="E38" i="3"/>
  <c r="F61" i="11" s="1"/>
  <c r="N15" i="3"/>
  <c r="H15" i="3"/>
  <c r="N13" i="3"/>
  <c r="F58" i="11" s="1"/>
  <c r="K13" i="3"/>
  <c r="H13" i="3"/>
  <c r="K12" i="3"/>
  <c r="F56" i="11" s="1"/>
  <c r="E12" i="3"/>
  <c r="F45" i="11" s="1"/>
  <c r="K11" i="3"/>
  <c r="F55" i="11" s="1"/>
  <c r="E11" i="3"/>
  <c r="K10" i="3"/>
  <c r="F54" i="11" s="1"/>
  <c r="E10" i="3"/>
  <c r="F43" i="11" s="1"/>
  <c r="K9" i="3"/>
  <c r="F53" i="11" s="1"/>
  <c r="E9" i="3"/>
  <c r="K8" i="3"/>
  <c r="F52" i="11" s="1"/>
  <c r="E8" i="3"/>
  <c r="F41" i="11" s="1"/>
  <c r="K7" i="3"/>
  <c r="F50" i="11" s="1"/>
  <c r="E7" i="3"/>
  <c r="D7" i="5"/>
  <c r="F17" i="11" s="1"/>
  <c r="I28" i="5"/>
  <c r="M28" i="5"/>
  <c r="F10" i="11"/>
  <c r="F9" i="11"/>
  <c r="F8" i="11"/>
  <c r="F7" i="11"/>
  <c r="F40" i="11"/>
  <c r="F5" i="11"/>
  <c r="F6" i="11"/>
  <c r="I7" i="5"/>
  <c r="D56" i="5"/>
  <c r="F196" i="11"/>
  <c r="F195" i="11"/>
  <c r="F194" i="11"/>
  <c r="F193" i="11"/>
  <c r="F192" i="11"/>
  <c r="F191" i="11"/>
  <c r="F190" i="11"/>
  <c r="F189" i="11"/>
  <c r="F188" i="11"/>
  <c r="F187" i="11"/>
  <c r="F186" i="11"/>
  <c r="F185" i="11"/>
  <c r="F184" i="11"/>
  <c r="F183" i="11"/>
  <c r="F181" i="11"/>
  <c r="F182"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7" i="11"/>
  <c r="F118" i="11"/>
  <c r="F116" i="11"/>
  <c r="F115" i="11"/>
  <c r="F114" i="11"/>
  <c r="F113" i="11"/>
  <c r="F112" i="11"/>
  <c r="F111" i="11"/>
  <c r="F110" i="11"/>
  <c r="F109" i="11"/>
  <c r="F108" i="11"/>
  <c r="J31" i="12"/>
  <c r="I31" i="12"/>
  <c r="H31" i="12"/>
  <c r="G31" i="12"/>
  <c r="F31" i="12"/>
  <c r="K31" i="12" s="1"/>
  <c r="Y28" i="5"/>
  <c r="U28" i="5"/>
  <c r="Q28" i="5"/>
  <c r="F60" i="11"/>
  <c r="F49" i="11"/>
  <c r="F39" i="11"/>
  <c r="F38" i="11"/>
  <c r="F106" i="11"/>
  <c r="F105" i="11"/>
  <c r="F103" i="11"/>
  <c r="F100" i="11"/>
  <c r="F98" i="11"/>
  <c r="F97" i="11"/>
  <c r="F94" i="11"/>
  <c r="F93" i="11"/>
  <c r="F91" i="11"/>
  <c r="F87" i="11"/>
  <c r="F85" i="11"/>
  <c r="F82" i="11"/>
  <c r="F79" i="11"/>
  <c r="F74" i="11"/>
  <c r="F73" i="11"/>
  <c r="F62" i="11"/>
  <c r="F59" i="11"/>
  <c r="F51" i="11"/>
  <c r="F48" i="11"/>
  <c r="F47" i="11"/>
  <c r="F44" i="11"/>
  <c r="F42" i="11"/>
  <c r="A3" i="12"/>
  <c r="F14" i="11"/>
  <c r="F18" i="11"/>
  <c r="F37" i="11"/>
  <c r="F33" i="11"/>
  <c r="F29" i="11"/>
  <c r="F25" i="11"/>
  <c r="F21" i="11"/>
  <c r="F36" i="11"/>
  <c r="F35" i="11"/>
  <c r="F34" i="11"/>
  <c r="F32" i="11"/>
  <c r="F31" i="11"/>
  <c r="F30" i="11"/>
  <c r="F28" i="11"/>
  <c r="F27" i="11"/>
  <c r="F26" i="11"/>
  <c r="F24" i="11"/>
  <c r="F23" i="11"/>
  <c r="F22" i="11"/>
  <c r="F20" i="11"/>
  <c r="F19" i="11"/>
  <c r="F13" i="11"/>
  <c r="I55" i="5"/>
  <c r="A3" i="3"/>
  <c r="A3" i="7"/>
  <c r="A3" i="5"/>
  <c r="A3" i="4"/>
  <c r="F15" i="11"/>
  <c r="F16" i="11"/>
  <c r="H7" i="5"/>
  <c r="F12" i="11"/>
  <c r="F86" i="11" l="1"/>
  <c r="E10" i="16"/>
  <c r="F83" i="11"/>
  <c r="F95" i="11"/>
  <c r="F7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S. Hill</author>
    <author>Rebecca Norris</author>
    <author>Mitchell Hannoosh</author>
    <author>Boos, Carlie</author>
  </authors>
  <commentList>
    <comment ref="D6" authorId="0" shapeId="0" xr:uid="{00000000-0006-0000-0100-000001000000}">
      <text>
        <r>
          <rPr>
            <b/>
            <sz val="9"/>
            <color indexed="81"/>
            <rFont val="Tahoma"/>
            <family val="2"/>
          </rPr>
          <t>&lt;[[DEVDeals] Application Date - Send]&gt;</t>
        </r>
      </text>
    </comment>
    <comment ref="D11" authorId="1" shapeId="0" xr:uid="{00000000-0006-0000-0100-000002000000}">
      <text>
        <r>
          <rPr>
            <b/>
            <sz val="9"/>
            <color indexed="81"/>
            <rFont val="Tahoma"/>
            <family val="2"/>
          </rPr>
          <t>&lt;[[DEVDeals] - [Property (Seq: 1)] Is Are All Locations Same - Get]&gt;</t>
        </r>
      </text>
    </comment>
    <comment ref="D16" authorId="1" shapeId="0" xr:uid="{00000000-0006-0000-0100-000003000000}">
      <text>
        <r>
          <rPr>
            <b/>
            <sz val="9"/>
            <color indexed="81"/>
            <rFont val="Tahoma"/>
            <family val="2"/>
          </rPr>
          <t>&lt;[[DEVDeals] - [Property (Seq: 1)] Address1 - Both]&gt;</t>
        </r>
      </text>
    </comment>
    <comment ref="I16" authorId="1" shapeId="0" xr:uid="{00000000-0006-0000-0100-000004000000}">
      <text>
        <r>
          <rPr>
            <b/>
            <sz val="9"/>
            <color indexed="81"/>
            <rFont val="Tahoma"/>
            <family val="2"/>
          </rPr>
          <t>&lt;[[DEVDeals] - [Property (Seq: 1)] - [Locations (Seq: 2)] Address1 - Get]&gt;</t>
        </r>
      </text>
    </comment>
    <comment ref="M16" authorId="1" shapeId="0" xr:uid="{00000000-0006-0000-0100-000005000000}">
      <text>
        <r>
          <rPr>
            <b/>
            <sz val="9"/>
            <color indexed="81"/>
            <rFont val="Tahoma"/>
            <family val="2"/>
          </rPr>
          <t>&lt;[[DEVDeals] - [Property (Seq: 1)] - [Locations (Seq: 3)] Address1 - Get]&gt;</t>
        </r>
      </text>
    </comment>
    <comment ref="Q16" authorId="1" shapeId="0" xr:uid="{00000000-0006-0000-0100-000006000000}">
      <text>
        <r>
          <rPr>
            <b/>
            <sz val="9"/>
            <color indexed="81"/>
            <rFont val="Tahoma"/>
            <family val="2"/>
          </rPr>
          <t>&lt;[[DEVDeals] - [Property (Seq: 1)] - [Locations (Seq: 4)] Address1 - Get]&gt;</t>
        </r>
      </text>
    </comment>
    <comment ref="U16" authorId="1" shapeId="0" xr:uid="{00000000-0006-0000-0100-000007000000}">
      <text>
        <r>
          <rPr>
            <b/>
            <sz val="9"/>
            <color indexed="81"/>
            <rFont val="Tahoma"/>
            <family val="2"/>
          </rPr>
          <t>&lt;[[DEVDeals] - [Property (Seq: 1)] - [Locations (Seq: 5)] Address1 - Get]&gt;</t>
        </r>
      </text>
    </comment>
    <comment ref="Y16" authorId="1" shapeId="0" xr:uid="{00000000-0006-0000-0100-000008000000}">
      <text>
        <r>
          <rPr>
            <b/>
            <sz val="9"/>
            <color indexed="81"/>
            <rFont val="Tahoma"/>
            <family val="2"/>
          </rPr>
          <t>&lt;[[DEVDeals] - [Property (Seq: 1)] - [Locations (Seq: 6)] Address1 - Get]&gt;</t>
        </r>
      </text>
    </comment>
    <comment ref="C17" authorId="2" shapeId="0" xr:uid="{00000000-0006-0000-0100-000009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D17" authorId="1" shapeId="0" xr:uid="{00000000-0006-0000-0100-00000A000000}">
      <text>
        <r>
          <rPr>
            <b/>
            <sz val="9"/>
            <color indexed="81"/>
            <rFont val="Tahoma"/>
            <family val="2"/>
          </rPr>
          <t>&lt;[[DEVDeals] - [Property (Seq: 1)] City - Both]&gt;</t>
        </r>
      </text>
    </comment>
    <comment ref="H17" authorId="2" shapeId="0" xr:uid="{00000000-0006-0000-0100-00000B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I17" authorId="1" shapeId="0" xr:uid="{00000000-0006-0000-0100-00000C000000}">
      <text>
        <r>
          <rPr>
            <b/>
            <sz val="9"/>
            <color indexed="81"/>
            <rFont val="Tahoma"/>
            <family val="2"/>
          </rPr>
          <t>&lt;[[DEVDeals] - [Property (Seq: 1)] City - Both]&gt;</t>
        </r>
      </text>
    </comment>
    <comment ref="L17" authorId="2" shapeId="0" xr:uid="{00000000-0006-0000-0100-00000D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M17" authorId="1" shapeId="0" xr:uid="{00000000-0006-0000-0100-00000E000000}">
      <text>
        <r>
          <rPr>
            <b/>
            <sz val="9"/>
            <color indexed="81"/>
            <rFont val="Tahoma"/>
            <family val="2"/>
          </rPr>
          <t>&lt;[[DEVDeals] - [Property (Seq: 1)] City - Both]&gt;</t>
        </r>
      </text>
    </comment>
    <comment ref="P17" authorId="2" shapeId="0" xr:uid="{00000000-0006-0000-0100-00000F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Q17" authorId="1" shapeId="0" xr:uid="{00000000-0006-0000-0100-000010000000}">
      <text>
        <r>
          <rPr>
            <b/>
            <sz val="9"/>
            <color indexed="81"/>
            <rFont val="Tahoma"/>
            <family val="2"/>
          </rPr>
          <t>&lt;[[DEVDeals] - [Property (Seq: 1)] City - Both]&gt;</t>
        </r>
      </text>
    </comment>
    <comment ref="T17" authorId="2" shapeId="0" xr:uid="{00000000-0006-0000-0100-000011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U17" authorId="1" shapeId="0" xr:uid="{00000000-0006-0000-0100-000012000000}">
      <text>
        <r>
          <rPr>
            <b/>
            <sz val="9"/>
            <color indexed="81"/>
            <rFont val="Tahoma"/>
            <family val="2"/>
          </rPr>
          <t>&lt;[[DEVDeals] - [Property (Seq: 1)] City - Both]&gt;</t>
        </r>
      </text>
    </comment>
    <comment ref="X17" authorId="2" shapeId="0" xr:uid="{00000000-0006-0000-0100-000013000000}">
      <text>
        <r>
          <rPr>
            <b/>
            <sz val="9"/>
            <color indexed="81"/>
            <rFont val="Tahoma"/>
            <family val="2"/>
          </rPr>
          <t>NOTE: Dropdown only includes incorporated cities with 2019 estimated population over 1,000. All other cities will be defined as non-urban - please enter name below if proposed project is sited in one of these locations.</t>
        </r>
      </text>
    </comment>
    <comment ref="Y17" authorId="1" shapeId="0" xr:uid="{00000000-0006-0000-0100-000014000000}">
      <text>
        <r>
          <rPr>
            <b/>
            <sz val="9"/>
            <color indexed="81"/>
            <rFont val="Tahoma"/>
            <family val="2"/>
          </rPr>
          <t>&lt;[[DEVDeals] - [Property (Seq: 1)] City - Both]&gt;</t>
        </r>
      </text>
    </comment>
    <comment ref="D19" authorId="1" shapeId="0" xr:uid="{00000000-0006-0000-0100-000015000000}">
      <text>
        <r>
          <rPr>
            <b/>
            <sz val="9"/>
            <color indexed="81"/>
            <rFont val="Tahoma"/>
            <family val="2"/>
          </rPr>
          <t>&lt;[[DEVDeals] - [Property (Seq: 1)] Zip Code - Both]&gt;</t>
        </r>
      </text>
    </comment>
    <comment ref="I19" authorId="1" shapeId="0" xr:uid="{00000000-0006-0000-0100-000016000000}">
      <text>
        <r>
          <rPr>
            <b/>
            <sz val="9"/>
            <color indexed="81"/>
            <rFont val="Tahoma"/>
            <family val="2"/>
          </rPr>
          <t>&lt;[[DEVDeals] - [Property (Seq: 1)] - [Locations (Seq: 2)] Zip Code - Get]&gt;</t>
        </r>
      </text>
    </comment>
    <comment ref="M19" authorId="1" shapeId="0" xr:uid="{00000000-0006-0000-0100-000017000000}">
      <text>
        <r>
          <rPr>
            <b/>
            <sz val="9"/>
            <color indexed="81"/>
            <rFont val="Tahoma"/>
            <family val="2"/>
          </rPr>
          <t>&lt;[[DEVDeals] - [Property (Seq: 1)] - [Locations (Seq: 3)] Zip Code - Get]&gt;</t>
        </r>
      </text>
    </comment>
    <comment ref="Q19" authorId="1" shapeId="0" xr:uid="{00000000-0006-0000-0100-000018000000}">
      <text>
        <r>
          <rPr>
            <b/>
            <sz val="9"/>
            <color indexed="81"/>
            <rFont val="Tahoma"/>
            <family val="2"/>
          </rPr>
          <t>&lt;[[DEVDeals] - [Property (Seq: 1)] - [Locations (Seq: 4)] Zip Code - Get]&gt;</t>
        </r>
      </text>
    </comment>
    <comment ref="U19" authorId="1" shapeId="0" xr:uid="{00000000-0006-0000-0100-000019000000}">
      <text>
        <r>
          <rPr>
            <b/>
            <sz val="9"/>
            <color indexed="81"/>
            <rFont val="Tahoma"/>
            <family val="2"/>
          </rPr>
          <t>&lt;[[DEVDeals] - [Property (Seq: 1)] - [Locations (Seq: 5)] Zip Code - Get]&gt;</t>
        </r>
      </text>
    </comment>
    <comment ref="Y19" authorId="1" shapeId="0" xr:uid="{00000000-0006-0000-0100-00001A000000}">
      <text>
        <r>
          <rPr>
            <b/>
            <sz val="9"/>
            <color indexed="81"/>
            <rFont val="Tahoma"/>
            <family val="2"/>
          </rPr>
          <t>&lt;[[DEVDeals] - [Property (Seq: 1)] - [Locations (Seq: 6)] Zip Code - Get]&gt;</t>
        </r>
      </text>
    </comment>
    <comment ref="D21" authorId="1" shapeId="0" xr:uid="{00000000-0006-0000-0100-00001B000000}">
      <text>
        <r>
          <rPr>
            <b/>
            <sz val="9"/>
            <color indexed="81"/>
            <rFont val="Tahoma"/>
            <family val="2"/>
          </rPr>
          <t>&lt;[[DEVDeals] - [Property (Seq: 1)] Jurisdiction - Both]&gt;</t>
        </r>
      </text>
    </comment>
    <comment ref="I21" authorId="1" shapeId="0" xr:uid="{00000000-0006-0000-0100-00001C000000}">
      <text>
        <r>
          <rPr>
            <b/>
            <sz val="9"/>
            <color indexed="81"/>
            <rFont val="Tahoma"/>
            <family val="2"/>
          </rPr>
          <t>&lt;[[DEVDeals] - [Property (Seq: 1)] Jurisdiction - Both]&gt;</t>
        </r>
      </text>
    </comment>
    <comment ref="M21" authorId="1" shapeId="0" xr:uid="{00000000-0006-0000-0100-00001D000000}">
      <text>
        <r>
          <rPr>
            <b/>
            <sz val="9"/>
            <color indexed="81"/>
            <rFont val="Tahoma"/>
            <family val="2"/>
          </rPr>
          <t>&lt;[[DEVDeals] - [Property (Seq: 1)] Jurisdiction - Both]&gt;</t>
        </r>
      </text>
    </comment>
    <comment ref="Q21" authorId="1" shapeId="0" xr:uid="{00000000-0006-0000-0100-00001E000000}">
      <text>
        <r>
          <rPr>
            <b/>
            <sz val="9"/>
            <color indexed="81"/>
            <rFont val="Tahoma"/>
            <family val="2"/>
          </rPr>
          <t>&lt;[[DEVDeals] - [Property (Seq: 1)] Jurisdiction - Both]&gt;</t>
        </r>
      </text>
    </comment>
    <comment ref="U21" authorId="1" shapeId="0" xr:uid="{00000000-0006-0000-0100-00001F000000}">
      <text>
        <r>
          <rPr>
            <b/>
            <sz val="9"/>
            <color indexed="81"/>
            <rFont val="Tahoma"/>
            <family val="2"/>
          </rPr>
          <t>&lt;[[DEVDeals] - [Property (Seq: 1)] Jurisdiction - Both]&gt;</t>
        </r>
      </text>
    </comment>
    <comment ref="Y21" authorId="1" shapeId="0" xr:uid="{00000000-0006-0000-0100-000020000000}">
      <text>
        <r>
          <rPr>
            <b/>
            <sz val="9"/>
            <color indexed="81"/>
            <rFont val="Tahoma"/>
            <family val="2"/>
          </rPr>
          <t>&lt;[[DEVDeals] - [Property (Seq: 1)] Jurisdiction - Both]&gt;</t>
        </r>
      </text>
    </comment>
    <comment ref="D22" authorId="1" shapeId="0" xr:uid="{00000000-0006-0000-0100-000021000000}">
      <text>
        <r>
          <rPr>
            <b/>
            <sz val="9"/>
            <color indexed="81"/>
            <rFont val="Tahoma"/>
            <family val="2"/>
          </rPr>
          <t>&lt;[[DEVDeals] - [Property (Seq: 1)] Latitude - Both]&gt;</t>
        </r>
      </text>
    </comment>
    <comment ref="D23" authorId="1" shapeId="0" xr:uid="{00000000-0006-0000-0100-000022000000}">
      <text>
        <r>
          <rPr>
            <b/>
            <sz val="9"/>
            <color indexed="81"/>
            <rFont val="Tahoma"/>
            <family val="2"/>
          </rPr>
          <t>&lt;[[DEVDeals] - [Property (Seq: 1)] Longitude - Both]&gt;</t>
        </r>
      </text>
    </comment>
    <comment ref="C27" authorId="3" shapeId="0" xr:uid="{00000000-0006-0000-0100-000023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D27" authorId="2" shapeId="0" xr:uid="{00000000-0006-0000-0100-000024000000}">
      <text>
        <r>
          <rPr>
            <b/>
            <sz val="9"/>
            <color indexed="81"/>
            <rFont val="Tahoma"/>
            <family val="2"/>
          </rPr>
          <t>How to Find 11-Digit Census Tract Number: follow link to the left. The 11-digit code is State Code + County Code + Tract Code.  Do NOT use dashes, periods, or other punctuation.</t>
        </r>
      </text>
    </comment>
    <comment ref="H27" authorId="3" shapeId="0" xr:uid="{00000000-0006-0000-0100-000025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L27" authorId="3" shapeId="0" xr:uid="{00000000-0006-0000-0100-000026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P27" authorId="3" shapeId="0" xr:uid="{00000000-0006-0000-0100-000027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T27" authorId="3" shapeId="0" xr:uid="{00000000-0006-0000-0100-000028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X27" authorId="3" shapeId="0" xr:uid="{00000000-0006-0000-0100-000029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J48" authorId="0" shapeId="0" xr:uid="{B06108ED-ECBA-4672-A5B9-27C4820CD854}">
      <text>
        <r>
          <rPr>
            <b/>
            <sz val="9"/>
            <color indexed="81"/>
            <rFont val="Tahoma"/>
            <family val="2"/>
          </rPr>
          <t>&lt;[[DEVDeals] - [Property (Seq: 1)] Total Units - Send]&gt;</t>
        </r>
      </text>
    </comment>
    <comment ref="D56" authorId="0" shapeId="0" xr:uid="{00000000-0006-0000-0100-00002A000000}">
      <text>
        <r>
          <rPr>
            <b/>
            <sz val="9"/>
            <color indexed="81"/>
            <rFont val="Tahoma"/>
            <family val="2"/>
          </rPr>
          <t>&lt;[[DEVDeals] Funding Opportunity - Send]&gt;</t>
        </r>
      </text>
    </comment>
    <comment ref="D73" authorId="1" shapeId="0" xr:uid="{00000000-0006-0000-0100-00002B000000}">
      <text>
        <r>
          <rPr>
            <b/>
            <sz val="9"/>
            <color indexed="81"/>
            <rFont val="Tahoma"/>
            <family val="2"/>
          </rPr>
          <t>&lt;[[DEVDeals] - [DEV User Defined Fields (Seq: 1)] Has this project applied for OHCS funding in the past? - Both]&gt;</t>
        </r>
      </text>
    </comment>
    <comment ref="D74" authorId="1" shapeId="0" xr:uid="{00000000-0006-0000-0100-00002C000000}">
      <text>
        <r>
          <rPr>
            <b/>
            <sz val="9"/>
            <color indexed="81"/>
            <rFont val="Tahoma"/>
            <family val="2"/>
          </rPr>
          <t>&lt;[[DEVDeals] - [DEV User Defined Fields (Seq: 1)] * if yes, which NOFA # or Year - Both]&gt;</t>
        </r>
      </text>
    </comment>
    <comment ref="D75" authorId="1" shapeId="0" xr:uid="{00000000-0006-0000-0100-00002D000000}">
      <text>
        <r>
          <rPr>
            <b/>
            <sz val="9"/>
            <color indexed="81"/>
            <rFont val="Tahoma"/>
            <family val="2"/>
          </rPr>
          <t>&lt;[[DEVDeals] - [DEV User Defined Fields (Seq: 1)] Has this project received OHCS funding in the past? - Both]&gt;</t>
        </r>
      </text>
    </comment>
    <comment ref="D76" authorId="1" shapeId="0" xr:uid="{00000000-0006-0000-0100-00002E000000}">
      <text>
        <r>
          <rPr>
            <b/>
            <sz val="9"/>
            <color indexed="81"/>
            <rFont val="Tahoma"/>
            <family val="2"/>
          </rPr>
          <t>&lt;[[DEVDeals] - [DEV User Defined Fields (Seq: 1)] * if Yes, which allocation year? - Both]&gt;</t>
        </r>
      </text>
    </comment>
    <comment ref="D77" authorId="1" shapeId="0" xr:uid="{00000000-0006-0000-0100-00002F000000}">
      <text>
        <r>
          <rPr>
            <b/>
            <sz val="9"/>
            <color indexed="81"/>
            <rFont val="Tahoma"/>
            <family val="2"/>
          </rPr>
          <t>&lt;[[DEVDeals] - [DEV User Defined Fields (Seq: 1)] Is Project accepts OHCS Rent &amp; Income Policy? - Both]&gt;</t>
        </r>
      </text>
    </comment>
    <comment ref="D78" authorId="1" shapeId="0" xr:uid="{00000000-0006-0000-0100-000030000000}">
      <text>
        <r>
          <rPr>
            <b/>
            <sz val="9"/>
            <color indexed="81"/>
            <rFont val="Tahoma"/>
            <family val="2"/>
          </rPr>
          <t>&lt;[[DEVDeals] - [DEV User Defined Fields (Seq: 1)] Other Description - Both]&gt;</t>
        </r>
      </text>
    </comment>
    <comment ref="D79" authorId="1" shapeId="0" xr:uid="{00000000-0006-0000-0100-000031000000}">
      <text>
        <r>
          <rPr>
            <b/>
            <sz val="9"/>
            <color indexed="81"/>
            <rFont val="Tahoma"/>
            <family val="2"/>
          </rPr>
          <t>&lt;[[DEVDeals] - [DEV User Defined Fields (Seq: 1)] Are there current rent or income restrictions tied to the property? - Both]&gt;</t>
        </r>
      </text>
    </comment>
    <comment ref="D80" authorId="1" shapeId="0" xr:uid="{00000000-0006-0000-0100-000032000000}">
      <text>
        <r>
          <rPr>
            <b/>
            <sz val="9"/>
            <color indexed="81"/>
            <rFont val="Tahoma"/>
            <family val="2"/>
          </rPr>
          <t>&lt;[[DEVDeals] - [DEV User Defined Fields (Seq: 1)] * if OHCS restrictions, what allocation year were they imposed? - Both]&gt;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Mitchell Hannoosh</author>
    <author>Boos, Carlie</author>
  </authors>
  <commentList>
    <comment ref="D16" authorId="0" shapeId="0" xr:uid="{00000000-0006-0000-0200-000001000000}">
      <text>
        <r>
          <rPr>
            <b/>
            <sz val="9"/>
            <color indexed="81"/>
            <rFont val="Tahoma"/>
            <family val="2"/>
          </rPr>
          <t>Must be registered with Business Oregon's COBID - other state's MWESB certification not allowable currently. See this link for the MWESB directory: https://oregon4biz.diversitysoftware.com/</t>
        </r>
      </text>
    </comment>
    <comment ref="J19" authorId="1" shapeId="0" xr:uid="{00000000-0006-0000-0200-000002000000}">
      <text>
        <r>
          <rPr>
            <b/>
            <sz val="9"/>
            <color indexed="81"/>
            <rFont val="Tahoma"/>
            <family val="2"/>
          </rPr>
          <t>See the QAP for further information.  Approved exception request must be included.</t>
        </r>
      </text>
    </comment>
    <comment ref="D46" authorId="0" shapeId="0" xr:uid="{00000000-0006-0000-0200-000003000000}">
      <text>
        <r>
          <rPr>
            <b/>
            <sz val="9"/>
            <color indexed="81"/>
            <rFont val="Tahoma"/>
            <family val="2"/>
          </rPr>
          <t>Must be registered with Business Oregon's COBID - other state's MWESB certification not allowable currently. See this link for the MWESB directory: https://oregon4biz.diversitysoftware.com/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S. Hill</author>
  </authors>
  <commentList>
    <comment ref="D11" authorId="0" shapeId="0" xr:uid="{1CC9CA43-0C93-4B87-B9C3-4B3366DF9304}">
      <text>
        <r>
          <rPr>
            <b/>
            <sz val="9"/>
            <color indexed="81"/>
            <rFont val="Tahoma"/>
            <family val="2"/>
          </rPr>
          <t>&lt;[[DEVDeals] - [Associated TC Deal (Seq: 1)] - [TC Property Current Stage (Seq: 1)] Total Annual Credit Amount Request - Send]&gt;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 Hill</author>
  </authors>
  <commentList>
    <comment ref="E10" authorId="0" shapeId="0" xr:uid="{37349EFA-FC45-42FB-A5C0-3CDF0E4143AA}">
      <text>
        <r>
          <rPr>
            <b/>
            <sz val="9"/>
            <color indexed="81"/>
            <rFont val="Tahoma"/>
            <family val="2"/>
          </rPr>
          <t>&lt;[[DEVDeals] - [DEV User Defined Fields (Seq: 1)] NOFA Reporting - Type of Project - Send]&gt;</t>
        </r>
      </text>
    </comment>
    <comment ref="E11" authorId="0" shapeId="0" xr:uid="{4217A117-4213-4EB2-8F28-44E637449AC8}">
      <text>
        <r>
          <rPr>
            <b/>
            <sz val="9"/>
            <color indexed="81"/>
            <rFont val="Tahoma"/>
            <family val="2"/>
          </rPr>
          <t>&lt;[[DEVDeals] - [DEV User Defined Fields (Seq: 1)] NOFA Reporting - Other Type of Project - Send]&gt;</t>
        </r>
      </text>
    </comment>
    <comment ref="E26" authorId="0" shapeId="0" xr:uid="{28A2FB26-B329-4C45-BA3B-264984D760CE}">
      <text>
        <r>
          <rPr>
            <b/>
            <sz val="9"/>
            <color indexed="81"/>
            <rFont val="Tahoma"/>
            <family val="2"/>
          </rPr>
          <t>&lt;[[DEVDeals] - [DEV User Defined Fields (Seq: 1)] NOFA Reporting - 9% LIHTC Annual Allocation - Send]&gt;</t>
        </r>
      </text>
    </comment>
    <comment ref="E27" authorId="0" shapeId="0" xr:uid="{C0DBF85F-2F9C-4452-916C-9B71349045C6}">
      <text>
        <r>
          <rPr>
            <b/>
            <sz val="9"/>
            <color indexed="81"/>
            <rFont val="Tahoma"/>
            <family val="2"/>
          </rPr>
          <t>&lt;[[DEVDeals] - [DEV User Defined Fields (Seq: 1)] NOFA Reporting - 4% LIHTC Annual Allocation - Send]&gt;</t>
        </r>
      </text>
    </comment>
    <comment ref="E28" authorId="0" shapeId="0" xr:uid="{99F78669-172F-49C2-83EA-F70CE3758ABF}">
      <text>
        <r>
          <rPr>
            <b/>
            <sz val="9"/>
            <color indexed="81"/>
            <rFont val="Tahoma"/>
            <family val="2"/>
          </rPr>
          <t>&lt;[[DEVDeals] - [DEV User Defined Fields (Seq: 1)] NOFA Reporting - Gap (GHAP and HDGP) - Send]&gt;</t>
        </r>
      </text>
    </comment>
    <comment ref="E29" authorId="0" shapeId="0" xr:uid="{36880FD8-FEA6-423D-ADA8-0167A88EFACE}">
      <text>
        <r>
          <rPr>
            <b/>
            <sz val="9"/>
            <color indexed="81"/>
            <rFont val="Tahoma"/>
            <family val="2"/>
          </rPr>
          <t>&lt;[[DEVDeals] - [DEV User Defined Fields (Seq: 1)] NOFA Reporting - OAHTC - Send]&gt;</t>
        </r>
      </text>
    </comment>
    <comment ref="E30" authorId="0" shapeId="0" xr:uid="{B326BED4-0050-427D-8E19-0A56DEB3E330}">
      <text>
        <r>
          <rPr>
            <b/>
            <sz val="9"/>
            <color indexed="81"/>
            <rFont val="Tahoma"/>
            <family val="2"/>
          </rPr>
          <t>&lt;[[DEVDeals] - [DEV User Defined Fields (Seq: 1)] NOFA Reporting - OMEP - Send]&gt;</t>
        </r>
      </text>
    </comment>
    <comment ref="E35" authorId="0" shapeId="0" xr:uid="{069320C2-19FB-4C2B-A67B-6C0541A2BC96}">
      <text>
        <r>
          <rPr>
            <b/>
            <sz val="9"/>
            <color indexed="81"/>
            <rFont val="Tahoma"/>
            <family val="2"/>
          </rPr>
          <t>&lt;[[DEVDeals] - [DEV User Defined Fields (Seq: 1)] NOFA Reporting - Total Development Costs - Send]&gt;</t>
        </r>
      </text>
    </comment>
    <comment ref="E36" authorId="0" shapeId="0" xr:uid="{CA02802E-6179-43A6-9071-191AF21F8512}">
      <text>
        <r>
          <rPr>
            <b/>
            <sz val="9"/>
            <color indexed="81"/>
            <rFont val="Tahoma"/>
            <family val="2"/>
          </rPr>
          <t>&lt;[[DEVDeals] - [DEV User Defined Fields (Seq: 1)] NOFA Reporting - Cost Per Unit - Send]&gt;</t>
        </r>
      </text>
    </comment>
    <comment ref="E37" authorId="0" shapeId="0" xr:uid="{96839F79-9733-408A-81CE-DA1FBDB36836}">
      <text>
        <r>
          <rPr>
            <b/>
            <sz val="9"/>
            <color indexed="81"/>
            <rFont val="Tahoma"/>
            <family val="2"/>
          </rPr>
          <t>&lt;[[DEVDeals] - [DEV User Defined Fields (Seq: 1)] NOFA Reporting - Operating Cost Per Unit - Send]&gt;</t>
        </r>
      </text>
    </comment>
    <comment ref="E42" authorId="0" shapeId="0" xr:uid="{F77A102C-3BAA-4348-898E-2E31405E027C}">
      <text>
        <r>
          <rPr>
            <b/>
            <sz val="9"/>
            <color indexed="81"/>
            <rFont val="Tahoma"/>
            <family val="2"/>
          </rPr>
          <t>&lt;[[DEVDeals] - [DEV User Defined Fields (Seq: 1)] NOFA Reporting - PSH Units - Send]&gt;</t>
        </r>
      </text>
    </comment>
    <comment ref="E43" authorId="0" shapeId="0" xr:uid="{5A26D154-7195-4518-A2D5-A5C004827410}">
      <text>
        <r>
          <rPr>
            <b/>
            <sz val="9"/>
            <color indexed="81"/>
            <rFont val="Tahoma"/>
            <family val="2"/>
          </rPr>
          <t>&lt;[[DEVDeals] - [DEV User Defined Fields (Seq: 1)] NOFA Reporting - Special Needs Population Unit Set Aside - Send]&gt;</t>
        </r>
      </text>
    </comment>
    <comment ref="E48" authorId="0" shapeId="0" xr:uid="{AC2E14F6-B1E9-4ED6-8A46-8DB71778FEC0}">
      <text>
        <r>
          <rPr>
            <b/>
            <sz val="9"/>
            <color indexed="81"/>
            <rFont val="Tahoma"/>
            <family val="2"/>
          </rPr>
          <t>&lt;[[DEVDeals] - [DEV User Defined Fields (Seq: 1)] NOFA Reporting - Preservation Expires - Both]&gt;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S. Hill</author>
  </authors>
  <commentList>
    <comment ref="E8" authorId="0" shapeId="0" xr:uid="{F4438D58-BD1A-409D-A1E0-9807D5289CB5}">
      <text>
        <r>
          <rPr>
            <b/>
            <sz val="9"/>
            <color indexed="81"/>
            <rFont val="Tahoma"/>
            <family val="2"/>
          </rPr>
          <t>&lt;[[DEVDeals] - [DEV User Defined Fields (Seq: 1)] NOFA Reporting - Is Applicant is CHDO - Send]&gt;</t>
        </r>
      </text>
    </comment>
    <comment ref="E13" authorId="0" shapeId="0" xr:uid="{1C269190-D930-4894-84CA-6584DC99EB03}">
      <text>
        <r>
          <rPr>
            <b/>
            <sz val="9"/>
            <color indexed="81"/>
            <rFont val="Tahoma"/>
            <family val="2"/>
          </rPr>
          <t>&lt;[[DEVDeals] - [DEV User Defined Fields (Seq: 1)] NOFA Reporting - 4% LIHTC Annual Allocation (HOME) - Send]&gt;</t>
        </r>
      </text>
    </comment>
    <comment ref="E14" authorId="0" shapeId="0" xr:uid="{D713F049-124C-41C7-9E46-4EEDE9DCE89B}">
      <text>
        <r>
          <rPr>
            <b/>
            <sz val="9"/>
            <color indexed="81"/>
            <rFont val="Tahoma"/>
            <family val="2"/>
          </rPr>
          <t>&lt;[[DEVDeals] - [DEV User Defined Fields (Seq: 1)] NOFA Reporting - HOME Funds - Send]&gt;</t>
        </r>
      </text>
    </comment>
    <comment ref="E15" authorId="0" shapeId="0" xr:uid="{EFD84743-5378-41E8-9F19-B2C0C227F24A}">
      <text>
        <r>
          <rPr>
            <b/>
            <sz val="9"/>
            <color indexed="81"/>
            <rFont val="Tahoma"/>
            <family val="2"/>
          </rPr>
          <t>&lt;[[DEVDeals] - [DEV User Defined Fields (Seq: 1)] NOFA Reporting - Gap (GHAP and HDGP) HOME Applicant - Send]&gt;</t>
        </r>
      </text>
    </comment>
    <comment ref="E16" authorId="0" shapeId="0" xr:uid="{061C6997-86A6-452A-9FA1-5F9BF98E45C8}">
      <text>
        <r>
          <rPr>
            <b/>
            <sz val="9"/>
            <color indexed="81"/>
            <rFont val="Tahoma"/>
            <family val="2"/>
          </rPr>
          <t>&lt;[[DEVDeals] - [DEV User Defined Fields (Seq: 1)] NOFA Reporting - OAHTC (HOME) - Send]&gt;</t>
        </r>
      </text>
    </comment>
    <comment ref="E17" authorId="0" shapeId="0" xr:uid="{972B1E2A-CD76-4E2A-B3DC-5D694F430A92}">
      <text>
        <r>
          <rPr>
            <b/>
            <sz val="9"/>
            <color indexed="81"/>
            <rFont val="Tahoma"/>
            <family val="2"/>
          </rPr>
          <t>&lt;[[DEVDeals] - [DEV User Defined Fields (Seq: 1)] NOFA Reporting - OMEP (HOME) - Send]&gt;</t>
        </r>
      </text>
    </comment>
    <comment ref="E25" authorId="0" shapeId="0" xr:uid="{838B4133-6C43-43FE-9BF0-9B5716E30D86}">
      <text>
        <r>
          <rPr>
            <b/>
            <sz val="9"/>
            <color indexed="81"/>
            <rFont val="Tahoma"/>
            <family val="2"/>
          </rPr>
          <t>&lt;[[DEVDeals] - [DEV User Defined Fields (Seq: 1)] HOME PBRA Units % - Send]&gt;</t>
        </r>
      </text>
    </comment>
    <comment ref="E30" authorId="0" shapeId="0" xr:uid="{4507D504-8DB1-4A29-8850-9A5DE78D28AC}">
      <text>
        <r>
          <rPr>
            <b/>
            <sz val="9"/>
            <color indexed="81"/>
            <rFont val="Tahoma"/>
            <family val="2"/>
          </rPr>
          <t>&lt;[[DEVDeals] - [DEV User Defined Fields (Seq: 1)] NOFA Reporting - Preservation Type - Send]&gt;</t>
        </r>
      </text>
    </comment>
    <comment ref="E31" authorId="0" shapeId="0" xr:uid="{7C3943A6-D953-4723-8B38-A4F9E983F367}">
      <text>
        <r>
          <rPr>
            <b/>
            <sz val="9"/>
            <color indexed="81"/>
            <rFont val="Tahoma"/>
            <family val="2"/>
          </rPr>
          <t>&lt;[[DEVDeals] - [DEV User Defined Fields (Seq: 1)] NOFA Reporting - Preservation Expiration Date - Send]&gt;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S. Hill</author>
  </authors>
  <commentList>
    <comment ref="D8" authorId="0" shapeId="0" xr:uid="{33BB2930-7C57-4EB1-9FE0-307C7B88C2DB}">
      <text>
        <r>
          <rPr>
            <b/>
            <sz val="9"/>
            <color indexed="81"/>
            <rFont val="Tahoma"/>
            <family val="2"/>
          </rPr>
          <t>&lt;[[DEVDeals] - [DEV User Defined Fields (Seq: 1)] PSH - PSH Subsidy Requested - Send]&gt;</t>
        </r>
      </text>
    </comment>
    <comment ref="D10" authorId="0" shapeId="0" xr:uid="{81FF9B21-8066-40DE-BB66-3498CBBC2762}">
      <text>
        <r>
          <rPr>
            <b/>
            <sz val="9"/>
            <color indexed="81"/>
            <rFont val="Tahoma"/>
            <family val="2"/>
          </rPr>
          <t>&lt;[[DEVDeals] - [DEV User Defined Fields (Seq: 1)] PSH - HTF Subsidy Requested - Send]&gt;</t>
        </r>
      </text>
    </comment>
    <comment ref="D14" authorId="0" shapeId="0" xr:uid="{C75911DA-1308-44E0-98EF-1D9032A35AA0}">
      <text>
        <r>
          <rPr>
            <b/>
            <sz val="9"/>
            <color indexed="81"/>
            <rFont val="Tahoma"/>
            <family val="2"/>
          </rPr>
          <t>&lt;[[DEVDeals] - [DEV User Defined Fields (Seq: 1)] PSH - PSH + HTF Request Per Unit - Send]&gt;</t>
        </r>
      </text>
    </comment>
    <comment ref="D19" authorId="0" shapeId="0" xr:uid="{0B65FBD6-685E-40A5-9CAF-D6CC8C6E6203}">
      <text>
        <r>
          <rPr>
            <b/>
            <sz val="9"/>
            <color indexed="81"/>
            <rFont val="Tahoma"/>
            <family val="2"/>
          </rPr>
          <t>&lt;[[DEVDeals] - [DEV User Defined Fields (Seq: 1)] PSH - Urban / Rural - Send]&gt;</t>
        </r>
      </text>
    </comment>
    <comment ref="D21" authorId="0" shapeId="0" xr:uid="{ECA207B7-3E64-4C5F-99FE-5C1B14E9B211}">
      <text>
        <r>
          <rPr>
            <b/>
            <sz val="9"/>
            <color indexed="81"/>
            <rFont val="Tahoma"/>
            <family val="2"/>
          </rPr>
          <t>&lt;[[DEVDeals] - [DEV User Defined Fields (Seq: 1)] PSH - Is Completed PSH Institute - Send]&gt;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 S. Hill</author>
    <author>Boos, Carlie</author>
    <author>Rebecca Norris</author>
  </authors>
  <commentList>
    <comment ref="F2" authorId="0" shapeId="0" xr:uid="{00000000-0006-0000-0700-000001000000}">
      <text>
        <r>
          <rPr>
            <b/>
            <sz val="9"/>
            <color indexed="81"/>
            <rFont val="Tahoma"/>
            <family val="2"/>
          </rPr>
          <t>&lt;[[DEVDeals] - [Associated TC Deal (Seq: 1)] Deal Name - Get]&gt;</t>
        </r>
      </text>
    </comment>
    <comment ref="F3" authorId="0" shapeId="0" xr:uid="{00000000-0006-0000-0700-000002000000}">
      <text>
        <r>
          <rPr>
            <b/>
            <sz val="9"/>
            <color indexed="81"/>
            <rFont val="Tahoma"/>
            <family val="2"/>
          </rPr>
          <t>&lt;[[DEVDeals] Deal Number - Get]&gt;</t>
        </r>
      </text>
    </comment>
    <comment ref="F4" authorId="0" shapeId="0" xr:uid="{00000000-0006-0000-0700-000003000000}">
      <text>
        <r>
          <rPr>
            <b/>
            <sz val="9"/>
            <color indexed="81"/>
            <rFont val="Tahoma"/>
            <family val="2"/>
          </rPr>
          <t>&lt;[[DEVDeals] - [Associated TC Deal (Seq: 1)] - [TC Property Current Stage (Seq: 1)] Deal Number - Get]&gt;</t>
        </r>
      </text>
    </comment>
    <comment ref="F7" authorId="0" shapeId="0" xr:uid="{00000000-0006-0000-0700-000004000000}">
      <text>
        <r>
          <rPr>
            <b/>
            <sz val="9"/>
            <color indexed="81"/>
            <rFont val="Tahoma"/>
            <family val="2"/>
          </rPr>
          <t>&lt;[[DEVDeals] - [DEV User Defined Fields (Seq: 1)] State Senate District - Send]&gt;</t>
        </r>
      </text>
    </comment>
    <comment ref="F8" authorId="0" shapeId="0" xr:uid="{00000000-0006-0000-0700-000005000000}">
      <text>
        <r>
          <rPr>
            <b/>
            <sz val="9"/>
            <color indexed="81"/>
            <rFont val="Tahoma"/>
            <family val="2"/>
          </rPr>
          <t>&lt;[[DEVDeals] - [DEV User Defined Fields (Seq: 1)] State House District - Send]&gt;</t>
        </r>
      </text>
    </comment>
    <comment ref="F9" authorId="0" shapeId="0" xr:uid="{00000000-0006-0000-0700-000006000000}">
      <text>
        <r>
          <rPr>
            <b/>
            <sz val="9"/>
            <color indexed="81"/>
            <rFont val="Tahoma"/>
            <family val="2"/>
          </rPr>
          <t>&lt;[[DEVDeals] - [DEV User Defined Fields (Seq: 1)] US Congressional District - Send]&gt;</t>
        </r>
      </text>
    </comment>
    <comment ref="C10" authorId="1" shapeId="0" xr:uid="{00000000-0006-0000-0700-000007000000}">
      <text>
        <r>
          <rPr>
            <b/>
            <sz val="9"/>
            <color indexed="81"/>
            <rFont val="Tahoma"/>
            <family val="2"/>
          </rPr>
          <t xml:space="preserve"> If multiple, provide tract with most affordable units.
11 Digit Primary Census Tract Number, No Spaces or Punctuation. 11-digit code is State Code + County Code + Tract Code.  
Applicants may find the 11-digit code in the linked Census Bureau website or in Column A on the "Data" tab.</t>
        </r>
      </text>
    </comment>
    <comment ref="F10" authorId="0" shapeId="0" xr:uid="{00000000-0006-0000-0700-000008000000}">
      <text>
        <r>
          <rPr>
            <b/>
            <sz val="9"/>
            <color indexed="81"/>
            <rFont val="Tahoma"/>
            <family val="2"/>
          </rPr>
          <t>&lt;[[DEVDeals] - [DEV User Defined Fields (Seq: 1)] 11 Digit Census Tract No. - Send]&gt;</t>
        </r>
      </text>
    </comment>
    <comment ref="F12" authorId="2" shapeId="0" xr:uid="{00000000-0006-0000-0700-000009000000}">
      <text>
        <r>
          <rPr>
            <b/>
            <sz val="9"/>
            <color indexed="81"/>
            <rFont val="Tahoma"/>
            <family val="2"/>
          </rPr>
          <t>&lt;[[DEVDeals] - [Property (Seq: 1)] Is Are All Locations Same - Send]&gt;</t>
        </r>
      </text>
    </comment>
    <comment ref="F14" authorId="2" shapeId="0" xr:uid="{00000000-0006-0000-0700-00000A000000}">
      <text>
        <r>
          <rPr>
            <b/>
            <sz val="9"/>
            <color indexed="81"/>
            <rFont val="Tahoma"/>
            <family val="2"/>
          </rPr>
          <t>&lt;[[DEVDeals] - [Property (Seq: 1)] - [Locations (Seq: 1)] Address1 - Send]&gt;</t>
        </r>
      </text>
    </comment>
    <comment ref="F15" authorId="2" shapeId="0" xr:uid="{00000000-0006-0000-0700-00000B000000}">
      <text>
        <r>
          <rPr>
            <b/>
            <sz val="9"/>
            <color indexed="81"/>
            <rFont val="Tahoma"/>
            <family val="2"/>
          </rPr>
          <t>&lt;[[DEVDeals] - [Property (Seq: 1)] - [Locations (Seq: 1)] City - Send]&gt;</t>
        </r>
      </text>
    </comment>
    <comment ref="F16" authorId="2" shapeId="0" xr:uid="{00000000-0006-0000-0700-00000C000000}">
      <text>
        <r>
          <rPr>
            <b/>
            <sz val="9"/>
            <color indexed="81"/>
            <rFont val="Tahoma"/>
            <family val="2"/>
          </rPr>
          <t>&lt;[[DEVDeals] - [Property (Seq: 1)] - [Locations (Seq: 1)] Zip Code - Send]&gt;</t>
        </r>
      </text>
    </comment>
    <comment ref="F17" authorId="2" shapeId="0" xr:uid="{00000000-0006-0000-0700-00000D000000}">
      <text>
        <r>
          <rPr>
            <b/>
            <sz val="9"/>
            <color indexed="81"/>
            <rFont val="Tahoma"/>
            <family val="2"/>
          </rPr>
          <t>&lt;[[DEVDeals] - [Property (Seq: 1)] - [Locations (Seq: 1)] Jurisdiction - Send]&gt;</t>
        </r>
      </text>
    </comment>
    <comment ref="F18" authorId="2" shapeId="0" xr:uid="{00000000-0006-0000-0700-00000E000000}">
      <text>
        <r>
          <rPr>
            <b/>
            <sz val="9"/>
            <color indexed="81"/>
            <rFont val="Tahoma"/>
            <family val="2"/>
          </rPr>
          <t>&lt;[[DEVDeals] - [Property (Seq: 1)] - [Locations (Seq: 2)] Address1 - Send]&gt;</t>
        </r>
      </text>
    </comment>
    <comment ref="F19" authorId="2" shapeId="0" xr:uid="{00000000-0006-0000-0700-00000F000000}">
      <text>
        <r>
          <rPr>
            <b/>
            <sz val="9"/>
            <color indexed="81"/>
            <rFont val="Tahoma"/>
            <family val="2"/>
          </rPr>
          <t>&lt;[[DEVDeals] - [Property (Seq: 1)] - [Locations (Seq: 2)] City - Send]&gt;</t>
        </r>
      </text>
    </comment>
    <comment ref="F20" authorId="2" shapeId="0" xr:uid="{00000000-0006-0000-0700-000010000000}">
      <text>
        <r>
          <rPr>
            <b/>
            <sz val="9"/>
            <color indexed="81"/>
            <rFont val="Tahoma"/>
            <family val="2"/>
          </rPr>
          <t>&lt;[[DEVDeals] - [Property (Seq: 1)] - [Locations (Seq: 2)] Zip Code - Send]&gt;</t>
        </r>
      </text>
    </comment>
    <comment ref="F21" authorId="2" shapeId="0" xr:uid="{00000000-0006-0000-0700-000011000000}">
      <text>
        <r>
          <rPr>
            <b/>
            <sz val="9"/>
            <color indexed="81"/>
            <rFont val="Tahoma"/>
            <family val="2"/>
          </rPr>
          <t>&lt;[[DEVDeals] - [Property (Seq: 1)] - [Locations (Seq: 2)] Jurisdiction - Send]&gt;</t>
        </r>
      </text>
    </comment>
    <comment ref="F22" authorId="2" shapeId="0" xr:uid="{00000000-0006-0000-0700-000012000000}">
      <text>
        <r>
          <rPr>
            <b/>
            <sz val="9"/>
            <color indexed="81"/>
            <rFont val="Tahoma"/>
            <family val="2"/>
          </rPr>
          <t>&lt;[[DEVDeals] - [Property (Seq: 1)] - [Locations (Seq: 3)] Address1 - Send]&gt;</t>
        </r>
      </text>
    </comment>
    <comment ref="F23" authorId="2" shapeId="0" xr:uid="{00000000-0006-0000-0700-000013000000}">
      <text>
        <r>
          <rPr>
            <b/>
            <sz val="9"/>
            <color indexed="81"/>
            <rFont val="Tahoma"/>
            <family val="2"/>
          </rPr>
          <t>&lt;[[DEVDeals] - [Property (Seq: 1)] - [Locations (Seq: 3)] City - Send]&gt;</t>
        </r>
      </text>
    </comment>
    <comment ref="F24" authorId="2" shapeId="0" xr:uid="{00000000-0006-0000-0700-000014000000}">
      <text>
        <r>
          <rPr>
            <b/>
            <sz val="9"/>
            <color indexed="81"/>
            <rFont val="Tahoma"/>
            <family val="2"/>
          </rPr>
          <t>&lt;[[DEVDeals] - [Property (Seq: 1)] - [Locations (Seq: 3)] Zip Code - Send]&gt;</t>
        </r>
      </text>
    </comment>
    <comment ref="F25" authorId="2" shapeId="0" xr:uid="{00000000-0006-0000-0700-000015000000}">
      <text>
        <r>
          <rPr>
            <b/>
            <sz val="9"/>
            <color indexed="81"/>
            <rFont val="Tahoma"/>
            <family val="2"/>
          </rPr>
          <t>&lt;[[DEVDeals] - [Property (Seq: 1)] - [Locations (Seq: 3)] Jurisdiction - Send]&gt;</t>
        </r>
      </text>
    </comment>
    <comment ref="F26" authorId="2" shapeId="0" xr:uid="{00000000-0006-0000-0700-000016000000}">
      <text>
        <r>
          <rPr>
            <b/>
            <sz val="9"/>
            <color indexed="81"/>
            <rFont val="Tahoma"/>
            <family val="2"/>
          </rPr>
          <t>&lt;[[DEVDeals] - [Property (Seq: 1)] - [Locations (Seq: 4)] Address1 - Send]&gt;</t>
        </r>
      </text>
    </comment>
    <comment ref="F27" authorId="2" shapeId="0" xr:uid="{00000000-0006-0000-0700-000017000000}">
      <text>
        <r>
          <rPr>
            <b/>
            <sz val="9"/>
            <color indexed="81"/>
            <rFont val="Tahoma"/>
            <family val="2"/>
          </rPr>
          <t>&lt;[[DEVDeals] - [Property (Seq: 1)] - [Locations (Seq: 4)] City - Send]&gt;</t>
        </r>
      </text>
    </comment>
    <comment ref="F28" authorId="2" shapeId="0" xr:uid="{00000000-0006-0000-0700-000018000000}">
      <text>
        <r>
          <rPr>
            <b/>
            <sz val="9"/>
            <color indexed="81"/>
            <rFont val="Tahoma"/>
            <family val="2"/>
          </rPr>
          <t>&lt;[[DEVDeals] - [Property (Seq: 1)] - [Locations (Seq: 4)] Zip Code - Send]&gt;</t>
        </r>
      </text>
    </comment>
    <comment ref="F29" authorId="2" shapeId="0" xr:uid="{00000000-0006-0000-0700-000019000000}">
      <text>
        <r>
          <rPr>
            <b/>
            <sz val="9"/>
            <color indexed="81"/>
            <rFont val="Tahoma"/>
            <family val="2"/>
          </rPr>
          <t>&lt;[[DEVDeals] - [Property (Seq: 1)] - [Locations (Seq: 4)] Jurisdiction - Send]&gt;</t>
        </r>
      </text>
    </comment>
    <comment ref="F30" authorId="2" shapeId="0" xr:uid="{00000000-0006-0000-0700-00001A000000}">
      <text>
        <r>
          <rPr>
            <b/>
            <sz val="9"/>
            <color indexed="81"/>
            <rFont val="Tahoma"/>
            <family val="2"/>
          </rPr>
          <t>&lt;[[DEVDeals] - [Property (Seq: 1)] - [Locations (Seq: 5)] Address1 - Send]&gt;</t>
        </r>
      </text>
    </comment>
    <comment ref="F31" authorId="2" shapeId="0" xr:uid="{00000000-0006-0000-0700-00001B000000}">
      <text>
        <r>
          <rPr>
            <b/>
            <sz val="9"/>
            <color indexed="81"/>
            <rFont val="Tahoma"/>
            <family val="2"/>
          </rPr>
          <t>&lt;[[DEVDeals] - [Property (Seq: 1)] - [Locations (Seq: 5)] City - Send]&gt;</t>
        </r>
      </text>
    </comment>
    <comment ref="F32" authorId="2" shapeId="0" xr:uid="{00000000-0006-0000-0700-00001C000000}">
      <text>
        <r>
          <rPr>
            <b/>
            <sz val="9"/>
            <color indexed="81"/>
            <rFont val="Tahoma"/>
            <family val="2"/>
          </rPr>
          <t>&lt;[[DEVDeals] - [Property (Seq: 1)] - [Locations (Seq: 5)] Zip Code - Send]&gt;</t>
        </r>
      </text>
    </comment>
    <comment ref="F33" authorId="2" shapeId="0" xr:uid="{00000000-0006-0000-0700-00001D000000}">
      <text>
        <r>
          <rPr>
            <b/>
            <sz val="9"/>
            <color indexed="81"/>
            <rFont val="Tahoma"/>
            <family val="2"/>
          </rPr>
          <t>&lt;[[DEVDeals] - [Property (Seq: 1)] - [Locations (Seq: 5)] Jurisdiction - Send]&gt;</t>
        </r>
      </text>
    </comment>
    <comment ref="F34" authorId="2" shapeId="0" xr:uid="{00000000-0006-0000-0700-00001E000000}">
      <text>
        <r>
          <rPr>
            <b/>
            <sz val="9"/>
            <color indexed="81"/>
            <rFont val="Tahoma"/>
            <family val="2"/>
          </rPr>
          <t>&lt;[[DEVDeals] - [Property (Seq: 1)] - [Locations (Seq: 6)] Address1 - Send]&gt;</t>
        </r>
      </text>
    </comment>
    <comment ref="F35" authorId="2" shapeId="0" xr:uid="{00000000-0006-0000-0700-00001F000000}">
      <text>
        <r>
          <rPr>
            <b/>
            <sz val="9"/>
            <color indexed="81"/>
            <rFont val="Tahoma"/>
            <family val="2"/>
          </rPr>
          <t>&lt;[[DEVDeals] - [Property (Seq: 1)] - [Locations (Seq: 6)] City - Send]&gt;</t>
        </r>
      </text>
    </comment>
    <comment ref="F36" authorId="2" shapeId="0" xr:uid="{00000000-0006-0000-0700-000020000000}">
      <text>
        <r>
          <rPr>
            <b/>
            <sz val="9"/>
            <color indexed="81"/>
            <rFont val="Tahoma"/>
            <family val="2"/>
          </rPr>
          <t>&lt;[[DEVDeals] - [Property (Seq: 1)] - [Locations (Seq: 6)] Zip Code - Send]&gt;</t>
        </r>
      </text>
    </comment>
    <comment ref="F37" authorId="2" shapeId="0" xr:uid="{00000000-0006-0000-0700-000021000000}">
      <text>
        <r>
          <rPr>
            <b/>
            <sz val="9"/>
            <color indexed="81"/>
            <rFont val="Tahoma"/>
            <family val="2"/>
          </rPr>
          <t>&lt;[[DEVDeals] - [Property (Seq: 1)] - [Locations (Seq: 6)] Jurisdiction - Send]&gt;</t>
        </r>
      </text>
    </comment>
    <comment ref="F38" authorId="2" shapeId="0" xr:uid="{00000000-0006-0000-0700-000022000000}">
      <text>
        <r>
          <rPr>
            <b/>
            <sz val="9"/>
            <color indexed="81"/>
            <rFont val="Tahoma"/>
            <family val="2"/>
          </rPr>
          <t>&lt;[[DEVDeals] - [Proxy Entities (Seq: 1)] Company or Individual? - Send]&gt;</t>
        </r>
      </text>
    </comment>
    <comment ref="F39" authorId="2" shapeId="0" xr:uid="{00000000-0006-0000-0700-000023000000}">
      <text>
        <r>
          <rPr>
            <b/>
            <sz val="9"/>
            <color indexed="81"/>
            <rFont val="Tahoma"/>
            <family val="2"/>
          </rPr>
          <t>&lt;[[DEVDeals] - [Proxy Entities (Seq: 1)] Deal Entity Role - Send]&gt;</t>
        </r>
      </text>
    </comment>
    <comment ref="F40" authorId="2" shapeId="0" xr:uid="{00000000-0006-0000-0700-000024000000}">
      <text>
        <r>
          <rPr>
            <b/>
            <sz val="9"/>
            <color indexed="81"/>
            <rFont val="Tahoma"/>
            <family val="2"/>
          </rPr>
          <t>&lt;[[DEVDeals] - [Proxy Entities (Seq: 1)] Name (Doing Business As) - Send]&gt;</t>
        </r>
      </text>
    </comment>
    <comment ref="F41" authorId="2" shapeId="0" xr:uid="{00000000-0006-0000-0700-000025000000}">
      <text>
        <r>
          <rPr>
            <b/>
            <sz val="9"/>
            <color indexed="81"/>
            <rFont val="Tahoma"/>
            <family val="2"/>
          </rPr>
          <t>&lt;[[DEVDeals] - [Proxy Entities (Seq: 1)] Address 1 - Send]&gt;</t>
        </r>
      </text>
    </comment>
    <comment ref="F42" authorId="2" shapeId="0" xr:uid="{00000000-0006-0000-0700-000026000000}">
      <text>
        <r>
          <rPr>
            <b/>
            <sz val="9"/>
            <color indexed="81"/>
            <rFont val="Tahoma"/>
            <family val="2"/>
          </rPr>
          <t>&lt;[[DEVDeals] - [Proxy Entities (Seq: 1)] City - Send]&gt;</t>
        </r>
      </text>
    </comment>
    <comment ref="F43" authorId="2" shapeId="0" xr:uid="{00000000-0006-0000-0700-000027000000}">
      <text>
        <r>
          <rPr>
            <b/>
            <sz val="9"/>
            <color indexed="81"/>
            <rFont val="Tahoma"/>
            <family val="2"/>
          </rPr>
          <t>&lt;[[DEVDeals] - [Proxy Entities (Seq: 1)] County - Send]&gt;</t>
        </r>
      </text>
    </comment>
    <comment ref="F44" authorId="2" shapeId="0" xr:uid="{00000000-0006-0000-0700-000028000000}">
      <text>
        <r>
          <rPr>
            <b/>
            <sz val="9"/>
            <color indexed="81"/>
            <rFont val="Tahoma"/>
            <family val="2"/>
          </rPr>
          <t>&lt;[[DEVDeals] - [Proxy Entities (Seq: 1)] State - Send]&gt;</t>
        </r>
      </text>
    </comment>
    <comment ref="F45" authorId="2" shapeId="0" xr:uid="{00000000-0006-0000-0700-000029000000}">
      <text>
        <r>
          <rPr>
            <b/>
            <sz val="9"/>
            <color indexed="81"/>
            <rFont val="Tahoma"/>
            <family val="2"/>
          </rPr>
          <t>&lt;[[DEVDeals] - [Proxy Entities (Seq: 1)] Zip Code - Send]&gt;</t>
        </r>
      </text>
    </comment>
    <comment ref="F46" authorId="2" shapeId="0" xr:uid="{00000000-0006-0000-0700-00002A000000}">
      <text>
        <r>
          <rPr>
            <b/>
            <sz val="9"/>
            <color indexed="81"/>
            <rFont val="Tahoma"/>
            <family val="2"/>
          </rPr>
          <t>&lt;[[DEVDeals] - [Proxy Entities (Seq: 1)] Tax ID Number - Send]&gt;</t>
        </r>
      </text>
    </comment>
    <comment ref="F47" authorId="2" shapeId="0" xr:uid="{00000000-0006-0000-0700-00002B000000}">
      <text>
        <r>
          <rPr>
            <b/>
            <sz val="9"/>
            <color indexed="81"/>
            <rFont val="Tahoma"/>
            <family val="2"/>
          </rPr>
          <t>&lt;[[DEVDeals] - [Proxy Entities (Seq: 1)] Direct Phone - Send]&gt;</t>
        </r>
      </text>
    </comment>
    <comment ref="F48" authorId="2" shapeId="0" xr:uid="{00000000-0006-0000-0700-00002C000000}">
      <text>
        <r>
          <rPr>
            <b/>
            <sz val="9"/>
            <color indexed="81"/>
            <rFont val="Tahoma"/>
            <family val="2"/>
          </rPr>
          <t>&lt;[[DEVDeals] - [Proxy Entities (Seq: 1)] Email Address 1 - Send]&gt;</t>
        </r>
      </text>
    </comment>
    <comment ref="F49" authorId="2" shapeId="0" xr:uid="{00000000-0006-0000-0700-00002D000000}">
      <text>
        <r>
          <rPr>
            <b/>
            <sz val="9"/>
            <color indexed="81"/>
            <rFont val="Tahoma"/>
            <family val="2"/>
          </rPr>
          <t>&lt;[[DEVDeals] - [Proxy Entities (Seq: 2)] Company or Individual? - Send]&gt;</t>
        </r>
      </text>
    </comment>
    <comment ref="F50" authorId="2" shapeId="0" xr:uid="{00000000-0006-0000-0700-00002E000000}">
      <text>
        <r>
          <rPr>
            <b/>
            <sz val="9"/>
            <color indexed="81"/>
            <rFont val="Tahoma"/>
            <family val="2"/>
          </rPr>
          <t>&lt;[[DEVDeals] - [Proxy Entities (Seq: 2)] Deal Entity Role - Send]&gt;</t>
        </r>
      </text>
    </comment>
    <comment ref="F51" authorId="2" shapeId="0" xr:uid="{00000000-0006-0000-0700-00002F000000}">
      <text>
        <r>
          <rPr>
            <b/>
            <sz val="9"/>
            <color indexed="81"/>
            <rFont val="Tahoma"/>
            <family val="2"/>
          </rPr>
          <t>&lt;[[DEVDeals] - [Proxy Entities (Seq: 2)] Name (Doing Business As) - Send]&gt;</t>
        </r>
      </text>
    </comment>
    <comment ref="F52" authorId="2" shapeId="0" xr:uid="{00000000-0006-0000-0700-000030000000}">
      <text>
        <r>
          <rPr>
            <b/>
            <sz val="9"/>
            <color indexed="81"/>
            <rFont val="Tahoma"/>
            <family val="2"/>
          </rPr>
          <t>&lt;[[DEVDeals] - [Proxy Entities (Seq: 2)] Address 1 - Send]&gt;</t>
        </r>
      </text>
    </comment>
    <comment ref="F53" authorId="2" shapeId="0" xr:uid="{00000000-0006-0000-0700-000031000000}">
      <text>
        <r>
          <rPr>
            <b/>
            <sz val="9"/>
            <color indexed="81"/>
            <rFont val="Tahoma"/>
            <family val="2"/>
          </rPr>
          <t>&lt;[[DEVDeals] - [Proxy Entities (Seq: 2)] City - Send]&gt;</t>
        </r>
      </text>
    </comment>
    <comment ref="F54" authorId="2" shapeId="0" xr:uid="{00000000-0006-0000-0700-000032000000}">
      <text>
        <r>
          <rPr>
            <b/>
            <sz val="9"/>
            <color indexed="81"/>
            <rFont val="Tahoma"/>
            <family val="2"/>
          </rPr>
          <t>&lt;[[DEVDeals] - [Proxy Entities (Seq: 2)] County - Send]&gt;</t>
        </r>
      </text>
    </comment>
    <comment ref="F55" authorId="2" shapeId="0" xr:uid="{00000000-0006-0000-0700-000033000000}">
      <text>
        <r>
          <rPr>
            <b/>
            <sz val="9"/>
            <color indexed="81"/>
            <rFont val="Tahoma"/>
            <family val="2"/>
          </rPr>
          <t>&lt;[[DEVDeals] - [Proxy Entities (Seq: 2)] State - Send]&gt;</t>
        </r>
      </text>
    </comment>
    <comment ref="F56" authorId="2" shapeId="0" xr:uid="{00000000-0006-0000-0700-000034000000}">
      <text>
        <r>
          <rPr>
            <b/>
            <sz val="9"/>
            <color indexed="81"/>
            <rFont val="Tahoma"/>
            <family val="2"/>
          </rPr>
          <t>&lt;[[DEVDeals] - [Proxy Entities (Seq: 2)] Zip Code - Send]&gt;</t>
        </r>
      </text>
    </comment>
    <comment ref="F57" authorId="2" shapeId="0" xr:uid="{00000000-0006-0000-0700-000035000000}">
      <text>
        <r>
          <rPr>
            <b/>
            <sz val="9"/>
            <color indexed="81"/>
            <rFont val="Tahoma"/>
            <family val="2"/>
          </rPr>
          <t>&lt;[[DEVDeals] - [Proxy Entities (Seq: 2)] Tax ID Number - Send]&gt;</t>
        </r>
      </text>
    </comment>
    <comment ref="F58" authorId="2" shapeId="0" xr:uid="{00000000-0006-0000-0700-000036000000}">
      <text>
        <r>
          <rPr>
            <b/>
            <sz val="9"/>
            <color indexed="81"/>
            <rFont val="Tahoma"/>
            <family val="2"/>
          </rPr>
          <t>&lt;[[DEVDeals] - [Proxy Entities (Seq: 2)] Direct Phone - Send]&gt;</t>
        </r>
      </text>
    </comment>
    <comment ref="F59" authorId="2" shapeId="0" xr:uid="{00000000-0006-0000-0700-000037000000}">
      <text>
        <r>
          <rPr>
            <b/>
            <sz val="9"/>
            <color indexed="81"/>
            <rFont val="Tahoma"/>
            <family val="2"/>
          </rPr>
          <t>&lt;[[DEVDeals] - [Proxy Entities (Seq: 2)] Email Address 1 - Send]&gt;</t>
        </r>
      </text>
    </comment>
    <comment ref="F60" authorId="2" shapeId="0" xr:uid="{00000000-0006-0000-0700-000038000000}">
      <text>
        <r>
          <rPr>
            <b/>
            <sz val="9"/>
            <color indexed="81"/>
            <rFont val="Tahoma"/>
            <family val="2"/>
          </rPr>
          <t>&lt;[[DEVDeals] - [Proxy Entities (Seq: 3)] Company or Individual? - Send]&gt;</t>
        </r>
      </text>
    </comment>
    <comment ref="F61" authorId="2" shapeId="0" xr:uid="{00000000-0006-0000-0700-000039000000}">
      <text>
        <r>
          <rPr>
            <b/>
            <sz val="9"/>
            <color indexed="81"/>
            <rFont val="Tahoma"/>
            <family val="2"/>
          </rPr>
          <t>&lt;[[DEVDeals] - [Proxy Entities (Seq: 3)] Deal Entity Role - Send]&gt;</t>
        </r>
      </text>
    </comment>
    <comment ref="F62" authorId="2" shapeId="0" xr:uid="{00000000-0006-0000-0700-00003A000000}">
      <text>
        <r>
          <rPr>
            <b/>
            <sz val="9"/>
            <color indexed="81"/>
            <rFont val="Tahoma"/>
            <family val="2"/>
          </rPr>
          <t>&lt;[[DEVDeals] - [Proxy Entities (Seq: 3)] Name (Doing Business As) - Send]&gt;</t>
        </r>
      </text>
    </comment>
    <comment ref="F63" authorId="2" shapeId="0" xr:uid="{00000000-0006-0000-0700-00003B000000}">
      <text>
        <r>
          <rPr>
            <b/>
            <sz val="9"/>
            <color indexed="81"/>
            <rFont val="Tahoma"/>
            <family val="2"/>
          </rPr>
          <t>&lt;[[DEVDeals] - [Proxy Entities (Seq: 3)] Address 1 - Send]&gt;</t>
        </r>
      </text>
    </comment>
    <comment ref="F64" authorId="2" shapeId="0" xr:uid="{00000000-0006-0000-0700-00003C000000}">
      <text>
        <r>
          <rPr>
            <b/>
            <sz val="9"/>
            <color indexed="81"/>
            <rFont val="Tahoma"/>
            <family val="2"/>
          </rPr>
          <t>&lt;[[DEVDeals] - [Proxy Entities (Seq: 3)] City - Send]&gt;</t>
        </r>
      </text>
    </comment>
    <comment ref="F65" authorId="2" shapeId="0" xr:uid="{00000000-0006-0000-0700-00003D000000}">
      <text>
        <r>
          <rPr>
            <b/>
            <sz val="9"/>
            <color indexed="81"/>
            <rFont val="Tahoma"/>
            <family val="2"/>
          </rPr>
          <t>&lt;[[DEVDeals] - [Proxy Entities (Seq: 3)] County - Send]&gt;</t>
        </r>
      </text>
    </comment>
    <comment ref="F66" authorId="2" shapeId="0" xr:uid="{00000000-0006-0000-0700-00003E000000}">
      <text>
        <r>
          <rPr>
            <b/>
            <sz val="9"/>
            <color indexed="81"/>
            <rFont val="Tahoma"/>
            <family val="2"/>
          </rPr>
          <t>&lt;[[DEVDeals] - [Proxy Entities (Seq: 3)] State - Send]&gt;</t>
        </r>
      </text>
    </comment>
    <comment ref="F67" authorId="2" shapeId="0" xr:uid="{00000000-0006-0000-0700-00003F000000}">
      <text>
        <r>
          <rPr>
            <b/>
            <sz val="9"/>
            <color indexed="81"/>
            <rFont val="Tahoma"/>
            <family val="2"/>
          </rPr>
          <t>&lt;[[DEVDeals] - [Proxy Entities (Seq: 3)] Zip Code - Send]&gt;</t>
        </r>
      </text>
    </comment>
    <comment ref="F68" authorId="2" shapeId="0" xr:uid="{00000000-0006-0000-0700-000040000000}">
      <text>
        <r>
          <rPr>
            <b/>
            <sz val="9"/>
            <color indexed="81"/>
            <rFont val="Tahoma"/>
            <family val="2"/>
          </rPr>
          <t>&lt;[[DEVDeals] - [Proxy Entities (Seq: 3)] Tax ID Number - Send]&gt;</t>
        </r>
      </text>
    </comment>
    <comment ref="F69" authorId="2" shapeId="0" xr:uid="{00000000-0006-0000-0700-000041000000}">
      <text>
        <r>
          <rPr>
            <b/>
            <sz val="9"/>
            <color indexed="81"/>
            <rFont val="Tahoma"/>
            <family val="2"/>
          </rPr>
          <t>&lt;[[DEVDeals] - [Proxy Entities (Seq: 3)] Direct Phone - Send]&gt;</t>
        </r>
      </text>
    </comment>
    <comment ref="F70" authorId="2" shapeId="0" xr:uid="{00000000-0006-0000-0700-000042000000}">
      <text>
        <r>
          <rPr>
            <b/>
            <sz val="9"/>
            <color indexed="81"/>
            <rFont val="Tahoma"/>
            <family val="2"/>
          </rPr>
          <t>&lt;[[DEVDeals] - [Proxy Entities (Seq: 3)] Email Address 1 - Send]&gt;</t>
        </r>
      </text>
    </comment>
    <comment ref="F71" authorId="2" shapeId="0" xr:uid="{00000000-0006-0000-0700-000043000000}">
      <text>
        <r>
          <rPr>
            <b/>
            <sz val="9"/>
            <color indexed="81"/>
            <rFont val="Tahoma"/>
            <family val="2"/>
          </rPr>
          <t>&lt;[[DEVDeals] - [Proxy Entities (Seq: 4)] Company or Individual? - Send]&gt;</t>
        </r>
      </text>
    </comment>
    <comment ref="F72" authorId="2" shapeId="0" xr:uid="{00000000-0006-0000-0700-000044000000}">
      <text>
        <r>
          <rPr>
            <b/>
            <sz val="9"/>
            <color indexed="81"/>
            <rFont val="Tahoma"/>
            <family val="2"/>
          </rPr>
          <t>&lt;[[DEVDeals] - [Proxy Entities (Seq: 4)] Deal Entity Role - Send]&gt;</t>
        </r>
      </text>
    </comment>
    <comment ref="F74" authorId="2" shapeId="0" xr:uid="{00000000-0006-0000-0700-000045000000}">
      <text>
        <r>
          <rPr>
            <b/>
            <sz val="9"/>
            <color indexed="81"/>
            <rFont val="Tahoma"/>
            <family val="2"/>
          </rPr>
          <t>&lt;[[DEVDeals] - [Proxy Entities (Seq: 4)] Name (Doing Business As) - Send]&gt;</t>
        </r>
      </text>
    </comment>
    <comment ref="F75" authorId="2" shapeId="0" xr:uid="{00000000-0006-0000-0700-000046000000}">
      <text>
        <r>
          <rPr>
            <b/>
            <sz val="9"/>
            <color indexed="81"/>
            <rFont val="Tahoma"/>
            <family val="2"/>
          </rPr>
          <t>&lt;[[DEVDeals] - [Proxy Entities (Seq: 4)] Address 1 - Send]&gt;</t>
        </r>
      </text>
    </comment>
    <comment ref="F76" authorId="2" shapeId="0" xr:uid="{00000000-0006-0000-0700-000047000000}">
      <text>
        <r>
          <rPr>
            <b/>
            <sz val="9"/>
            <color indexed="81"/>
            <rFont val="Tahoma"/>
            <family val="2"/>
          </rPr>
          <t>&lt;[[DEVDeals] - [Proxy Entities (Seq: 4)] City - Send]&gt;</t>
        </r>
      </text>
    </comment>
    <comment ref="F77" authorId="2" shapeId="0" xr:uid="{00000000-0006-0000-0700-000048000000}">
      <text>
        <r>
          <rPr>
            <b/>
            <sz val="9"/>
            <color indexed="81"/>
            <rFont val="Tahoma"/>
            <family val="2"/>
          </rPr>
          <t>&lt;[[DEVDeals] - [Proxy Entities (Seq: 4)] County - Send]&gt;</t>
        </r>
      </text>
    </comment>
    <comment ref="F78" authorId="2" shapeId="0" xr:uid="{00000000-0006-0000-0700-000049000000}">
      <text>
        <r>
          <rPr>
            <b/>
            <sz val="9"/>
            <color indexed="81"/>
            <rFont val="Tahoma"/>
            <family val="2"/>
          </rPr>
          <t>&lt;[[DEVDeals] - [Proxy Entities (Seq: 4)] State - Send]&gt;</t>
        </r>
      </text>
    </comment>
    <comment ref="F79" authorId="2" shapeId="0" xr:uid="{00000000-0006-0000-0700-00004A000000}">
      <text>
        <r>
          <rPr>
            <b/>
            <sz val="9"/>
            <color indexed="81"/>
            <rFont val="Tahoma"/>
            <family val="2"/>
          </rPr>
          <t>&lt;[[DEVDeals] - [Proxy Entities (Seq: 4)] Zip Code - Send]&gt;</t>
        </r>
      </text>
    </comment>
    <comment ref="F80" authorId="2" shapeId="0" xr:uid="{00000000-0006-0000-0700-00004B000000}">
      <text>
        <r>
          <rPr>
            <b/>
            <sz val="9"/>
            <color indexed="81"/>
            <rFont val="Tahoma"/>
            <family val="2"/>
          </rPr>
          <t>&lt;[[DEVDeals] - [Proxy Entities (Seq: 4)] Tax ID Number - Send]&gt;</t>
        </r>
      </text>
    </comment>
    <comment ref="F81" authorId="2" shapeId="0" xr:uid="{00000000-0006-0000-0700-00004C000000}">
      <text>
        <r>
          <rPr>
            <b/>
            <sz val="9"/>
            <color indexed="81"/>
            <rFont val="Tahoma"/>
            <family val="2"/>
          </rPr>
          <t>&lt;[[DEVDeals] - [Proxy Entities (Seq: 4)] Direct Phone - Send]&gt;</t>
        </r>
      </text>
    </comment>
    <comment ref="F82" authorId="2" shapeId="0" xr:uid="{00000000-0006-0000-0700-00004D000000}">
      <text>
        <r>
          <rPr>
            <b/>
            <sz val="9"/>
            <color indexed="81"/>
            <rFont val="Tahoma"/>
            <family val="2"/>
          </rPr>
          <t>&lt;[[DEVDeals] - [Proxy Entities (Seq: 4)] Email Address 1 - Send]&gt;</t>
        </r>
      </text>
    </comment>
    <comment ref="F83" authorId="2" shapeId="0" xr:uid="{00000000-0006-0000-0700-00004E000000}">
      <text>
        <r>
          <rPr>
            <b/>
            <sz val="9"/>
            <color indexed="81"/>
            <rFont val="Tahoma"/>
            <family val="2"/>
          </rPr>
          <t>&lt;[[DEVDeals] - [Proxy Entities (Seq: 5)] Company or Individual? - Send]&gt;</t>
        </r>
      </text>
    </comment>
    <comment ref="F84" authorId="2" shapeId="0" xr:uid="{00000000-0006-0000-0700-00004F000000}">
      <text>
        <r>
          <rPr>
            <b/>
            <sz val="9"/>
            <color indexed="81"/>
            <rFont val="Tahoma"/>
            <family val="2"/>
          </rPr>
          <t>&lt;[[DEVDeals] - [Proxy Entities (Seq: 5)] Deal Entity Role - Send]&gt;</t>
        </r>
      </text>
    </comment>
    <comment ref="F86" authorId="2" shapeId="0" xr:uid="{00000000-0006-0000-0700-000050000000}">
      <text>
        <r>
          <rPr>
            <b/>
            <sz val="9"/>
            <color indexed="81"/>
            <rFont val="Tahoma"/>
            <family val="2"/>
          </rPr>
          <t>&lt;[[DEVDeals] - [Proxy Entities (Seq: 5)] Name (Doing Business As) - Send]&gt;</t>
        </r>
      </text>
    </comment>
    <comment ref="F87" authorId="2" shapeId="0" xr:uid="{00000000-0006-0000-0700-000051000000}">
      <text>
        <r>
          <rPr>
            <b/>
            <sz val="9"/>
            <color indexed="81"/>
            <rFont val="Tahoma"/>
            <family val="2"/>
          </rPr>
          <t>&lt;[[DEVDeals] - [Proxy Entities (Seq: 5)] Address 1 - Send]&gt;</t>
        </r>
      </text>
    </comment>
    <comment ref="F88" authorId="2" shapeId="0" xr:uid="{00000000-0006-0000-0700-000052000000}">
      <text>
        <r>
          <rPr>
            <b/>
            <sz val="9"/>
            <color indexed="81"/>
            <rFont val="Tahoma"/>
            <family val="2"/>
          </rPr>
          <t>&lt;[[DEVDeals] - [Proxy Entities (Seq: 5)] City - Send]&gt;</t>
        </r>
      </text>
    </comment>
    <comment ref="F89" authorId="2" shapeId="0" xr:uid="{00000000-0006-0000-0700-000053000000}">
      <text>
        <r>
          <rPr>
            <b/>
            <sz val="9"/>
            <color indexed="81"/>
            <rFont val="Tahoma"/>
            <family val="2"/>
          </rPr>
          <t>&lt;[[DEVDeals] - [Proxy Entities (Seq: 5)] County - Send]&gt;</t>
        </r>
      </text>
    </comment>
    <comment ref="F90" authorId="2" shapeId="0" xr:uid="{00000000-0006-0000-0700-000054000000}">
      <text>
        <r>
          <rPr>
            <b/>
            <sz val="9"/>
            <color indexed="81"/>
            <rFont val="Tahoma"/>
            <family val="2"/>
          </rPr>
          <t>&lt;[[DEVDeals] - [Proxy Entities (Seq: 5)] State - Send]&gt;</t>
        </r>
      </text>
    </comment>
    <comment ref="F91" authorId="2" shapeId="0" xr:uid="{00000000-0006-0000-0700-000055000000}">
      <text>
        <r>
          <rPr>
            <b/>
            <sz val="9"/>
            <color indexed="81"/>
            <rFont val="Tahoma"/>
            <family val="2"/>
          </rPr>
          <t>&lt;[[DEVDeals] - [Proxy Entities (Seq: 5)] Zip Code - Send]&gt;</t>
        </r>
      </text>
    </comment>
    <comment ref="F92" authorId="2" shapeId="0" xr:uid="{00000000-0006-0000-0700-000056000000}">
      <text>
        <r>
          <rPr>
            <b/>
            <sz val="9"/>
            <color indexed="81"/>
            <rFont val="Tahoma"/>
            <family val="2"/>
          </rPr>
          <t>&lt;[[DEVDeals] - [Proxy Entities (Seq: 5)] Tax ID Number - Send]&gt;</t>
        </r>
      </text>
    </comment>
    <comment ref="F93" authorId="2" shapeId="0" xr:uid="{00000000-0006-0000-0700-000057000000}">
      <text>
        <r>
          <rPr>
            <b/>
            <sz val="9"/>
            <color indexed="81"/>
            <rFont val="Tahoma"/>
            <family val="2"/>
          </rPr>
          <t>&lt;[[DEVDeals] - [Proxy Entities (Seq: 5)] Direct Phone - Send]&gt;</t>
        </r>
      </text>
    </comment>
    <comment ref="F94" authorId="2" shapeId="0" xr:uid="{00000000-0006-0000-0700-000058000000}">
      <text>
        <r>
          <rPr>
            <b/>
            <sz val="9"/>
            <color indexed="81"/>
            <rFont val="Tahoma"/>
            <family val="2"/>
          </rPr>
          <t>&lt;[[DEVDeals] - [Proxy Entities (Seq: 5)] Email Address 1 - Send]&gt;</t>
        </r>
      </text>
    </comment>
    <comment ref="F95" authorId="2" shapeId="0" xr:uid="{00000000-0006-0000-0700-000059000000}">
      <text>
        <r>
          <rPr>
            <b/>
            <sz val="9"/>
            <color indexed="81"/>
            <rFont val="Tahoma"/>
            <family val="2"/>
          </rPr>
          <t>&lt;[[DEVDeals] - [Proxy Entities (Seq: 6)] Company or Individual? - Send]&gt;</t>
        </r>
      </text>
    </comment>
    <comment ref="F96" authorId="2" shapeId="0" xr:uid="{00000000-0006-0000-0700-00005A000000}">
      <text>
        <r>
          <rPr>
            <b/>
            <sz val="9"/>
            <color indexed="81"/>
            <rFont val="Tahoma"/>
            <family val="2"/>
          </rPr>
          <t>&lt;[[DEVDeals] - [Proxy Entities (Seq: 6)] Deal Entity Role - Send]&gt;</t>
        </r>
      </text>
    </comment>
    <comment ref="F98" authorId="2" shapeId="0" xr:uid="{00000000-0006-0000-0700-00005B000000}">
      <text>
        <r>
          <rPr>
            <b/>
            <sz val="9"/>
            <color indexed="81"/>
            <rFont val="Tahoma"/>
            <family val="2"/>
          </rPr>
          <t>&lt;[[DEVDeals] - [Proxy Entities (Seq: 6)] Name (Doing Business As) - Send]&gt;</t>
        </r>
      </text>
    </comment>
    <comment ref="F99" authorId="2" shapeId="0" xr:uid="{00000000-0006-0000-0700-00005C000000}">
      <text>
        <r>
          <rPr>
            <b/>
            <sz val="9"/>
            <color indexed="81"/>
            <rFont val="Tahoma"/>
            <family val="2"/>
          </rPr>
          <t>&lt;[[DEVDeals] - [Proxy Entities (Seq: 6)] Address 1 - Send]&gt;</t>
        </r>
      </text>
    </comment>
    <comment ref="F100" authorId="2" shapeId="0" xr:uid="{00000000-0006-0000-0700-00005D000000}">
      <text>
        <r>
          <rPr>
            <b/>
            <sz val="9"/>
            <color indexed="81"/>
            <rFont val="Tahoma"/>
            <family val="2"/>
          </rPr>
          <t>&lt;[[DEVDeals] - [Proxy Entities (Seq: 6)] City - Send]&gt;</t>
        </r>
      </text>
    </comment>
    <comment ref="F101" authorId="2" shapeId="0" xr:uid="{00000000-0006-0000-0700-00005E000000}">
      <text>
        <r>
          <rPr>
            <b/>
            <sz val="9"/>
            <color indexed="81"/>
            <rFont val="Tahoma"/>
            <family val="2"/>
          </rPr>
          <t>&lt;[[DEVDeals] - [Proxy Entities (Seq: 6)] County - Send]&gt;</t>
        </r>
      </text>
    </comment>
    <comment ref="F102" authorId="2" shapeId="0" xr:uid="{00000000-0006-0000-0700-00005F000000}">
      <text>
        <r>
          <rPr>
            <b/>
            <sz val="9"/>
            <color indexed="81"/>
            <rFont val="Tahoma"/>
            <family val="2"/>
          </rPr>
          <t>&lt;[[DEVDeals] - [Proxy Entities (Seq: 6)] State - Send]&gt;</t>
        </r>
      </text>
    </comment>
    <comment ref="F103" authorId="2" shapeId="0" xr:uid="{00000000-0006-0000-0700-000060000000}">
      <text>
        <r>
          <rPr>
            <b/>
            <sz val="9"/>
            <color indexed="81"/>
            <rFont val="Tahoma"/>
            <family val="2"/>
          </rPr>
          <t>&lt;[[DEVDeals] - [Proxy Entities (Seq: 6)] Zip Code - Send]&gt;</t>
        </r>
      </text>
    </comment>
    <comment ref="F104" authorId="2" shapeId="0" xr:uid="{00000000-0006-0000-0700-000061000000}">
      <text>
        <r>
          <rPr>
            <b/>
            <sz val="9"/>
            <color indexed="81"/>
            <rFont val="Tahoma"/>
            <family val="2"/>
          </rPr>
          <t>&lt;[[DEVDeals] - [Proxy Entities (Seq: 6)] Tax ID Number - Send]&gt;</t>
        </r>
      </text>
    </comment>
    <comment ref="F105" authorId="2" shapeId="0" xr:uid="{00000000-0006-0000-0700-000062000000}">
      <text>
        <r>
          <rPr>
            <b/>
            <sz val="9"/>
            <color indexed="81"/>
            <rFont val="Tahoma"/>
            <family val="2"/>
          </rPr>
          <t>&lt;[[DEVDeals] - [Proxy Entities (Seq: 6)] Direct Phone - Send]&gt;</t>
        </r>
      </text>
    </comment>
    <comment ref="F106" authorId="2" shapeId="0" xr:uid="{00000000-0006-0000-0700-000063000000}">
      <text>
        <r>
          <rPr>
            <b/>
            <sz val="9"/>
            <color indexed="81"/>
            <rFont val="Tahoma"/>
            <family val="2"/>
          </rPr>
          <t>&lt;[[DEVDeals] - [Proxy Entities (Seq: 6)] Email Address 1 - Send]&gt;</t>
        </r>
      </text>
    </comment>
    <comment ref="F107" authorId="2" shapeId="0" xr:uid="{00000000-0006-0000-0700-000064000000}">
      <text>
        <r>
          <rPr>
            <b/>
            <sz val="9"/>
            <color indexed="81"/>
            <rFont val="Tahoma"/>
            <family val="2"/>
          </rPr>
          <t>&lt;[[DEVDeals] - [Associated TC Deal (Seq: 1)] - [TC Property Current Stage (Seq: 1)] - [Unit Mix (Seq: 1)] TC Unit Mix Type - Send]&gt;</t>
        </r>
      </text>
    </comment>
    <comment ref="F108" authorId="2" shapeId="0" xr:uid="{00000000-0006-0000-0700-000065000000}">
      <text>
        <r>
          <rPr>
            <b/>
            <sz val="9"/>
            <color indexed="81"/>
            <rFont val="Tahoma"/>
            <family val="2"/>
          </rPr>
          <t>&lt;[[DEVDeals] - [Associated TC Deal (Seq: 1)] - [TC Property Current Stage (Seq: 1)] - [Unit Mix (Seq: 1)] Num Units - Send]&gt;</t>
        </r>
      </text>
    </comment>
    <comment ref="F109" authorId="2" shapeId="0" xr:uid="{00000000-0006-0000-0700-000066000000}">
      <text>
        <r>
          <rPr>
            <b/>
            <sz val="9"/>
            <color indexed="81"/>
            <rFont val="Tahoma"/>
            <family val="2"/>
          </rPr>
          <t>&lt;[[DEVDeals] - [Associated TC Deal (Seq: 1)] - [TC Property Current Stage (Seq: 1)] - [Unit Mix (Seq: 1)] Income Target - Send]&gt;</t>
        </r>
      </text>
    </comment>
    <comment ref="F110" authorId="2" shapeId="0" xr:uid="{00000000-0006-0000-0700-000067000000}">
      <text>
        <r>
          <rPr>
            <b/>
            <sz val="9"/>
            <color indexed="81"/>
            <rFont val="Tahoma"/>
            <family val="2"/>
          </rPr>
          <t>&lt;[[DEVDeals] - [Associated TC Deal (Seq: 1)] - [TC Property Current Stage (Seq: 1)] - [Unit Mix (Seq: 2)] TC Unit Mix Type - Send]&gt;</t>
        </r>
      </text>
    </comment>
    <comment ref="F111" authorId="2" shapeId="0" xr:uid="{00000000-0006-0000-0700-000068000000}">
      <text>
        <r>
          <rPr>
            <b/>
            <sz val="9"/>
            <color indexed="81"/>
            <rFont val="Tahoma"/>
            <family val="2"/>
          </rPr>
          <t>&lt;[[DEVDeals] - [Associated TC Deal (Seq: 1)] - [TC Property Current Stage (Seq: 1)] - [Unit Mix (Seq: 2)] Num Units - Send]&gt;</t>
        </r>
      </text>
    </comment>
    <comment ref="F112" authorId="2" shapeId="0" xr:uid="{00000000-0006-0000-0700-000069000000}">
      <text>
        <r>
          <rPr>
            <b/>
            <sz val="9"/>
            <color indexed="81"/>
            <rFont val="Tahoma"/>
            <family val="2"/>
          </rPr>
          <t>&lt;[[DEVDeals] - [Associated TC Deal (Seq: 1)] - [TC Property Current Stage (Seq: 1)] - [Unit Mix (Seq: 2)] Income Target - Send]&gt;</t>
        </r>
      </text>
    </comment>
    <comment ref="F113" authorId="2" shapeId="0" xr:uid="{00000000-0006-0000-0700-00006A000000}">
      <text>
        <r>
          <rPr>
            <b/>
            <sz val="9"/>
            <color indexed="81"/>
            <rFont val="Tahoma"/>
            <family val="2"/>
          </rPr>
          <t>&lt;[[DEVDeals] - [Associated TC Deal (Seq: 1)] - [TC Property Current Stage (Seq: 1)] - [Unit Mix (Seq: 3)] TC Unit Mix Type - Send]&gt;</t>
        </r>
      </text>
    </comment>
    <comment ref="F114" authorId="2" shapeId="0" xr:uid="{00000000-0006-0000-0700-00006B000000}">
      <text>
        <r>
          <rPr>
            <b/>
            <sz val="9"/>
            <color indexed="81"/>
            <rFont val="Tahoma"/>
            <family val="2"/>
          </rPr>
          <t>&lt;[[DEVDeals] - [Associated TC Deal (Seq: 1)] - [TC Property Current Stage (Seq: 1)] - [Unit Mix (Seq: 3)] Num Units - Send]&gt;</t>
        </r>
      </text>
    </comment>
    <comment ref="F115" authorId="2" shapeId="0" xr:uid="{00000000-0006-0000-0700-00006C000000}">
      <text>
        <r>
          <rPr>
            <b/>
            <sz val="9"/>
            <color indexed="81"/>
            <rFont val="Tahoma"/>
            <family val="2"/>
          </rPr>
          <t>&lt;[[DEVDeals] - [Associated TC Deal (Seq: 1)] - [TC Property Current Stage (Seq: 1)] - [Unit Mix (Seq: 3)] Income Target - Send]&gt;</t>
        </r>
      </text>
    </comment>
    <comment ref="F116" authorId="2" shapeId="0" xr:uid="{00000000-0006-0000-0700-00006D000000}">
      <text>
        <r>
          <rPr>
            <b/>
            <sz val="9"/>
            <color indexed="81"/>
            <rFont val="Tahoma"/>
            <family val="2"/>
          </rPr>
          <t>&lt;[[DEVDeals] - [Associated TC Deal (Seq: 1)] - [TC Property Current Stage (Seq: 1)] - [Unit Mix (Seq: 4)] TC Unit Mix Type - Send]&gt;</t>
        </r>
      </text>
    </comment>
    <comment ref="F117" authorId="2" shapeId="0" xr:uid="{00000000-0006-0000-0700-00006E000000}">
      <text>
        <r>
          <rPr>
            <b/>
            <sz val="9"/>
            <color indexed="81"/>
            <rFont val="Tahoma"/>
            <family val="2"/>
          </rPr>
          <t>&lt;[[DEVDeals] - [Associated TC Deal (Seq: 1)] - [TC Property Current Stage (Seq: 1)] - [Unit Mix (Seq: 4)] Num Units - Send]&gt;</t>
        </r>
      </text>
    </comment>
    <comment ref="F118" authorId="2" shapeId="0" xr:uid="{00000000-0006-0000-0700-00006F000000}">
      <text>
        <r>
          <rPr>
            <b/>
            <sz val="9"/>
            <color indexed="81"/>
            <rFont val="Tahoma"/>
            <family val="2"/>
          </rPr>
          <t>&lt;[[DEVDeals] - [Associated TC Deal (Seq: 1)] - [TC Property Current Stage (Seq: 1)] - [Unit Mix (Seq: 4)] Income Target - Send]&gt;</t>
        </r>
      </text>
    </comment>
    <comment ref="F119" authorId="2" shapeId="0" xr:uid="{00000000-0006-0000-0700-000070000000}">
      <text>
        <r>
          <rPr>
            <b/>
            <sz val="9"/>
            <color indexed="81"/>
            <rFont val="Tahoma"/>
            <family val="2"/>
          </rPr>
          <t>&lt;[[DEVDeals] - [Associated TC Deal (Seq: 1)] - [TC Property Current Stage (Seq: 1)] - [Unit Mix (Seq: 5)] TC Unit Mix Type - Send]&gt;</t>
        </r>
      </text>
    </comment>
    <comment ref="F120" authorId="2" shapeId="0" xr:uid="{00000000-0006-0000-0700-000071000000}">
      <text>
        <r>
          <rPr>
            <b/>
            <sz val="9"/>
            <color indexed="81"/>
            <rFont val="Tahoma"/>
            <family val="2"/>
          </rPr>
          <t>&lt;[[DEVDeals] - [Associated TC Deal (Seq: 1)] - [TC Property Current Stage (Seq: 1)] - [Unit Mix (Seq: 5)] Num Units - Send]&gt;</t>
        </r>
      </text>
    </comment>
    <comment ref="F121" authorId="2" shapeId="0" xr:uid="{00000000-0006-0000-0700-000072000000}">
      <text>
        <r>
          <rPr>
            <b/>
            <sz val="9"/>
            <color indexed="81"/>
            <rFont val="Tahoma"/>
            <family val="2"/>
          </rPr>
          <t>&lt;[[DEVDeals] - [Associated TC Deal (Seq: 1)] - [TC Property Current Stage (Seq: 1)] - [Unit Mix (Seq: 5)] Income Target - Send]&gt;</t>
        </r>
      </text>
    </comment>
    <comment ref="F122" authorId="2" shapeId="0" xr:uid="{00000000-0006-0000-0700-000073000000}">
      <text>
        <r>
          <rPr>
            <b/>
            <sz val="9"/>
            <color indexed="81"/>
            <rFont val="Tahoma"/>
            <family val="2"/>
          </rPr>
          <t>&lt;[[DEVDeals] - [Associated TC Deal (Seq: 1)] - [TC Property Current Stage (Seq: 1)] - [Unit Mix (Seq: 6)] TC Unit Mix Type - Send]&gt;</t>
        </r>
      </text>
    </comment>
    <comment ref="F123" authorId="2" shapeId="0" xr:uid="{00000000-0006-0000-0700-000074000000}">
      <text>
        <r>
          <rPr>
            <b/>
            <sz val="9"/>
            <color indexed="81"/>
            <rFont val="Tahoma"/>
            <family val="2"/>
          </rPr>
          <t>&lt;[[DEVDeals] - [Associated TC Deal (Seq: 1)] - [TC Property Current Stage (Seq: 1)] - [Unit Mix (Seq: 6)] Num Units - Send]&gt;</t>
        </r>
      </text>
    </comment>
    <comment ref="F124" authorId="2" shapeId="0" xr:uid="{00000000-0006-0000-0700-000075000000}">
      <text>
        <r>
          <rPr>
            <b/>
            <sz val="9"/>
            <color indexed="81"/>
            <rFont val="Tahoma"/>
            <family val="2"/>
          </rPr>
          <t>&lt;[[DEVDeals] - [Associated TC Deal (Seq: 1)] - [TC Property Current Stage (Seq: 1)] - [Unit Mix (Seq: 6)] Income Target - Send]&gt;</t>
        </r>
      </text>
    </comment>
    <comment ref="F125" authorId="2" shapeId="0" xr:uid="{00000000-0006-0000-0700-000076000000}">
      <text>
        <r>
          <rPr>
            <b/>
            <sz val="9"/>
            <color indexed="81"/>
            <rFont val="Tahoma"/>
            <family val="2"/>
          </rPr>
          <t>&lt;[[DEVDeals] - [Associated TC Deal (Seq: 1)] - [TC Property Current Stage (Seq: 1)] - [Unit Mix (Seq: 7)] TC Unit Mix Type - Send]&gt;</t>
        </r>
      </text>
    </comment>
    <comment ref="F126" authorId="2" shapeId="0" xr:uid="{00000000-0006-0000-0700-000077000000}">
      <text>
        <r>
          <rPr>
            <b/>
            <sz val="9"/>
            <color indexed="81"/>
            <rFont val="Tahoma"/>
            <family val="2"/>
          </rPr>
          <t>&lt;[[DEVDeals] - [Associated TC Deal (Seq: 1)] - [TC Property Current Stage (Seq: 1)] - [Unit Mix (Seq: 7)] Num Units - Send]&gt;</t>
        </r>
      </text>
    </comment>
    <comment ref="F127" authorId="2" shapeId="0" xr:uid="{00000000-0006-0000-0700-000078000000}">
      <text>
        <r>
          <rPr>
            <b/>
            <sz val="9"/>
            <color indexed="81"/>
            <rFont val="Tahoma"/>
            <family val="2"/>
          </rPr>
          <t>&lt;[[DEVDeals] - [Associated TC Deal (Seq: 1)] - [TC Property Current Stage (Seq: 1)] - [Unit Mix (Seq: 7)] Income Target - Send]&gt;</t>
        </r>
      </text>
    </comment>
    <comment ref="F128" authorId="2" shapeId="0" xr:uid="{00000000-0006-0000-0700-000079000000}">
      <text>
        <r>
          <rPr>
            <b/>
            <sz val="9"/>
            <color indexed="81"/>
            <rFont val="Tahoma"/>
            <family val="2"/>
          </rPr>
          <t>&lt;[[DEVDeals] - [Associated TC Deal (Seq: 1)] - [TC Property Current Stage (Seq: 1)] - [Unit Mix (Seq: 8)] TC Unit Mix Type - Send]&gt;</t>
        </r>
      </text>
    </comment>
    <comment ref="F129" authorId="2" shapeId="0" xr:uid="{00000000-0006-0000-0700-00007A000000}">
      <text>
        <r>
          <rPr>
            <b/>
            <sz val="9"/>
            <color indexed="81"/>
            <rFont val="Tahoma"/>
            <family val="2"/>
          </rPr>
          <t>&lt;[[DEVDeals] - [Associated TC Deal (Seq: 1)] - [TC Property Current Stage (Seq: 1)] - [Unit Mix (Seq: 8)] Num Units - Send]&gt;</t>
        </r>
      </text>
    </comment>
    <comment ref="F130" authorId="2" shapeId="0" xr:uid="{00000000-0006-0000-0700-00007B000000}">
      <text>
        <r>
          <rPr>
            <b/>
            <sz val="9"/>
            <color indexed="81"/>
            <rFont val="Tahoma"/>
            <family val="2"/>
          </rPr>
          <t>&lt;[[DEVDeals] - [Associated TC Deal (Seq: 1)] - [TC Property Current Stage (Seq: 1)] - [Unit Mix (Seq: 8)] Income Target - Send]&gt;</t>
        </r>
      </text>
    </comment>
    <comment ref="F131" authorId="2" shapeId="0" xr:uid="{00000000-0006-0000-0700-00007C000000}">
      <text>
        <r>
          <rPr>
            <b/>
            <sz val="9"/>
            <color indexed="81"/>
            <rFont val="Tahoma"/>
            <family val="2"/>
          </rPr>
          <t>&lt;[[DEVDeals] - [Associated TC Deal (Seq: 1)] - [TC Property Current Stage (Seq: 1)] - [Unit Mix (Seq: 9)] TC Unit Mix Type - Send]&gt;</t>
        </r>
      </text>
    </comment>
    <comment ref="F132" authorId="2" shapeId="0" xr:uid="{00000000-0006-0000-0700-00007D000000}">
      <text>
        <r>
          <rPr>
            <b/>
            <sz val="9"/>
            <color indexed="81"/>
            <rFont val="Tahoma"/>
            <family val="2"/>
          </rPr>
          <t>&lt;[[DEVDeals] - [Associated TC Deal (Seq: 1)] - [TC Property Current Stage (Seq: 1)] - [Unit Mix (Seq: 9)] Num Units - Send]&gt;</t>
        </r>
      </text>
    </comment>
    <comment ref="F133" authorId="2" shapeId="0" xr:uid="{00000000-0006-0000-0700-00007E000000}">
      <text>
        <r>
          <rPr>
            <b/>
            <sz val="9"/>
            <color indexed="81"/>
            <rFont val="Tahoma"/>
            <family val="2"/>
          </rPr>
          <t>&lt;[[DEVDeals] - [Associated TC Deal (Seq: 1)] - [TC Property Current Stage (Seq: 1)] - [Unit Mix (Seq: 9)] Income Target - Send]&gt;</t>
        </r>
      </text>
    </comment>
    <comment ref="F134" authorId="2" shapeId="0" xr:uid="{00000000-0006-0000-0700-00007F000000}">
      <text>
        <r>
          <rPr>
            <b/>
            <sz val="9"/>
            <color indexed="81"/>
            <rFont val="Tahoma"/>
            <family val="2"/>
          </rPr>
          <t>&lt;[[DEVDeals] - [Associated TC Deal (Seq: 1)] - [TC Property Current Stage (Seq: 1)] - [Unit Mix (Seq: 10)] TC Unit Mix Type - Send]&gt;</t>
        </r>
      </text>
    </comment>
    <comment ref="F135" authorId="2" shapeId="0" xr:uid="{00000000-0006-0000-0700-000080000000}">
      <text>
        <r>
          <rPr>
            <b/>
            <sz val="9"/>
            <color indexed="81"/>
            <rFont val="Tahoma"/>
            <family val="2"/>
          </rPr>
          <t>&lt;[[DEVDeals] - [Associated TC Deal (Seq: 1)] - [TC Property Current Stage (Seq: 1)] - [Unit Mix (Seq: 10)] Num Units - Send]&gt;</t>
        </r>
      </text>
    </comment>
    <comment ref="F136" authorId="2" shapeId="0" xr:uid="{00000000-0006-0000-0700-000081000000}">
      <text>
        <r>
          <rPr>
            <b/>
            <sz val="9"/>
            <color indexed="81"/>
            <rFont val="Tahoma"/>
            <family val="2"/>
          </rPr>
          <t>&lt;[[DEVDeals] - [Associated TC Deal (Seq: 1)] - [TC Property Current Stage (Seq: 1)] - [Unit Mix (Seq: 10)] Income Target - Send]&gt;</t>
        </r>
      </text>
    </comment>
    <comment ref="F137" authorId="2" shapeId="0" xr:uid="{00000000-0006-0000-0700-000082000000}">
      <text>
        <r>
          <rPr>
            <b/>
            <sz val="9"/>
            <color indexed="81"/>
            <rFont val="Tahoma"/>
            <family val="2"/>
          </rPr>
          <t>&lt;[[DEVDeals] - [Associated TC Deal (Seq: 1)] - [TC Property Current Stage (Seq: 1)] - [Unit Mix (Seq: 11)] TC Unit Mix Type - Send]&gt;</t>
        </r>
      </text>
    </comment>
    <comment ref="F138" authorId="2" shapeId="0" xr:uid="{00000000-0006-0000-0700-000083000000}">
      <text>
        <r>
          <rPr>
            <b/>
            <sz val="9"/>
            <color indexed="81"/>
            <rFont val="Tahoma"/>
            <family val="2"/>
          </rPr>
          <t>&lt;[[DEVDeals] - [Associated TC Deal (Seq: 1)] - [TC Property Current Stage (Seq: 1)] - [Unit Mix (Seq: 11)] Num Units - Send]&gt;</t>
        </r>
      </text>
    </comment>
    <comment ref="F139" authorId="2" shapeId="0" xr:uid="{00000000-0006-0000-0700-000084000000}">
      <text>
        <r>
          <rPr>
            <b/>
            <sz val="9"/>
            <color indexed="81"/>
            <rFont val="Tahoma"/>
            <family val="2"/>
          </rPr>
          <t>&lt;[[DEVDeals] - [Associated TC Deal (Seq: 1)] - [TC Property Current Stage (Seq: 1)] - [Unit Mix (Seq: 11)] Income Target - Send]&gt;</t>
        </r>
      </text>
    </comment>
    <comment ref="F140" authorId="2" shapeId="0" xr:uid="{00000000-0006-0000-0700-000085000000}">
      <text>
        <r>
          <rPr>
            <b/>
            <sz val="9"/>
            <color indexed="81"/>
            <rFont val="Tahoma"/>
            <family val="2"/>
          </rPr>
          <t>&lt;[[DEVDeals] - [Associated TC Deal (Seq: 1)] - [TC Property Current Stage (Seq: 1)] - [Unit Mix (Seq: 12)] TC Unit Mix Type - Send]&gt;</t>
        </r>
      </text>
    </comment>
    <comment ref="F141" authorId="2" shapeId="0" xr:uid="{00000000-0006-0000-0700-000086000000}">
      <text>
        <r>
          <rPr>
            <b/>
            <sz val="9"/>
            <color indexed="81"/>
            <rFont val="Tahoma"/>
            <family val="2"/>
          </rPr>
          <t>&lt;[[DEVDeals] - [Associated TC Deal (Seq: 1)] - [TC Property Current Stage (Seq: 1)] - [Unit Mix (Seq: 12)] Num Units - Send]&gt;</t>
        </r>
      </text>
    </comment>
    <comment ref="F142" authorId="2" shapeId="0" xr:uid="{00000000-0006-0000-0700-000087000000}">
      <text>
        <r>
          <rPr>
            <b/>
            <sz val="9"/>
            <color indexed="81"/>
            <rFont val="Tahoma"/>
            <family val="2"/>
          </rPr>
          <t>&lt;[[DEVDeals] - [Associated TC Deal (Seq: 1)] - [TC Property Current Stage (Seq: 1)] - [Unit Mix (Seq: 12)] Income Target - Send]&gt;</t>
        </r>
      </text>
    </comment>
    <comment ref="F143" authorId="2" shapeId="0" xr:uid="{00000000-0006-0000-0700-000088000000}">
      <text>
        <r>
          <rPr>
            <b/>
            <sz val="9"/>
            <color indexed="81"/>
            <rFont val="Tahoma"/>
            <family val="2"/>
          </rPr>
          <t>&lt;[[DEVDeals] - [Associated TC Deal (Seq: 1)] - [TC Property Current Stage (Seq: 1)] - [Unit Mix (Seq: 13)] TC Unit Mix Type - Send]&gt;</t>
        </r>
      </text>
    </comment>
    <comment ref="F144" authorId="2" shapeId="0" xr:uid="{00000000-0006-0000-0700-000089000000}">
      <text>
        <r>
          <rPr>
            <b/>
            <sz val="9"/>
            <color indexed="81"/>
            <rFont val="Tahoma"/>
            <family val="2"/>
          </rPr>
          <t>&lt;[[DEVDeals] - [Associated TC Deal (Seq: 1)] - [TC Property Current Stage (Seq: 1)] - [Unit Mix (Seq: 13)] Num Units - Send]&gt;</t>
        </r>
      </text>
    </comment>
    <comment ref="F145" authorId="2" shapeId="0" xr:uid="{00000000-0006-0000-0700-00008A000000}">
      <text>
        <r>
          <rPr>
            <b/>
            <sz val="9"/>
            <color indexed="81"/>
            <rFont val="Tahoma"/>
            <family val="2"/>
          </rPr>
          <t>&lt;[[DEVDeals] - [Associated TC Deal (Seq: 1)] - [TC Property Current Stage (Seq: 1)] - [Unit Mix (Seq: 13)] Income Target - Send]&gt;</t>
        </r>
      </text>
    </comment>
    <comment ref="F146" authorId="2" shapeId="0" xr:uid="{00000000-0006-0000-0700-00008B000000}">
      <text>
        <r>
          <rPr>
            <b/>
            <sz val="9"/>
            <color indexed="81"/>
            <rFont val="Tahoma"/>
            <family val="2"/>
          </rPr>
          <t>&lt;[[DEVDeals] - [Associated TC Deal (Seq: 1)] - [TC Property Current Stage (Seq: 1)] - [Unit Mix (Seq: 14)] TC Unit Mix Type - Send]&gt;</t>
        </r>
      </text>
    </comment>
    <comment ref="F147" authorId="2" shapeId="0" xr:uid="{00000000-0006-0000-0700-00008C000000}">
      <text>
        <r>
          <rPr>
            <b/>
            <sz val="9"/>
            <color indexed="81"/>
            <rFont val="Tahoma"/>
            <family val="2"/>
          </rPr>
          <t>&lt;[[DEVDeals] - [Associated TC Deal (Seq: 1)] - [TC Property Current Stage (Seq: 1)] - [Unit Mix (Seq: 14)] Num Units - Send]&gt;</t>
        </r>
      </text>
    </comment>
    <comment ref="F148" authorId="2" shapeId="0" xr:uid="{00000000-0006-0000-0700-00008D000000}">
      <text>
        <r>
          <rPr>
            <b/>
            <sz val="9"/>
            <color indexed="81"/>
            <rFont val="Tahoma"/>
            <family val="2"/>
          </rPr>
          <t>&lt;[[DEVDeals] - [Associated TC Deal (Seq: 1)] - [TC Property Current Stage (Seq: 1)] - [Unit Mix (Seq: 14)] Income Target - Send]&gt;</t>
        </r>
      </text>
    </comment>
    <comment ref="F149" authorId="2" shapeId="0" xr:uid="{00000000-0006-0000-0700-00008E000000}">
      <text>
        <r>
          <rPr>
            <b/>
            <sz val="9"/>
            <color indexed="81"/>
            <rFont val="Tahoma"/>
            <family val="2"/>
          </rPr>
          <t>&lt;[[DEVDeals] - [Associated TC Deal (Seq: 1)] - [TC Property Current Stage (Seq: 1)] - [Unit Mix (Seq: 15)] TC Unit Mix Type - Send]&gt;</t>
        </r>
      </text>
    </comment>
    <comment ref="F150" authorId="2" shapeId="0" xr:uid="{00000000-0006-0000-0700-00008F000000}">
      <text>
        <r>
          <rPr>
            <b/>
            <sz val="9"/>
            <color indexed="81"/>
            <rFont val="Tahoma"/>
            <family val="2"/>
          </rPr>
          <t>&lt;[[DEVDeals] - [Associated TC Deal (Seq: 1)] - [TC Property Current Stage (Seq: 1)] - [Unit Mix (Seq: 15)] Num Units - Send]&gt;</t>
        </r>
      </text>
    </comment>
    <comment ref="F151" authorId="2" shapeId="0" xr:uid="{00000000-0006-0000-0700-000090000000}">
      <text>
        <r>
          <rPr>
            <b/>
            <sz val="9"/>
            <color indexed="81"/>
            <rFont val="Tahoma"/>
            <family val="2"/>
          </rPr>
          <t>&lt;[[DEVDeals] - [Associated TC Deal (Seq: 1)] - [TC Property Current Stage (Seq: 1)] - [Unit Mix (Seq: 15)] Income Target - Send]&gt;</t>
        </r>
      </text>
    </comment>
    <comment ref="F152" authorId="2" shapeId="0" xr:uid="{00000000-0006-0000-0700-000091000000}">
      <text>
        <r>
          <rPr>
            <b/>
            <sz val="9"/>
            <color indexed="81"/>
            <rFont val="Tahoma"/>
            <family val="2"/>
          </rPr>
          <t>&lt;[[DEVDeals] - [Associated TC Deal (Seq: 1)] - [TC Property Current Stage (Seq: 1)] - [Unit Mix (Seq: 16)] TC Unit Mix Type - Send]&gt;</t>
        </r>
      </text>
    </comment>
    <comment ref="F153" authorId="2" shapeId="0" xr:uid="{00000000-0006-0000-0700-000092000000}">
      <text>
        <r>
          <rPr>
            <b/>
            <sz val="9"/>
            <color indexed="81"/>
            <rFont val="Tahoma"/>
            <family val="2"/>
          </rPr>
          <t>&lt;[[DEVDeals] - [Associated TC Deal (Seq: 1)] - [TC Property Current Stage (Seq: 1)] - [Unit Mix (Seq: 16)] Num Units - Send]&gt;</t>
        </r>
      </text>
    </comment>
    <comment ref="F154" authorId="2" shapeId="0" xr:uid="{00000000-0006-0000-0700-000093000000}">
      <text>
        <r>
          <rPr>
            <b/>
            <sz val="9"/>
            <color indexed="81"/>
            <rFont val="Tahoma"/>
            <family val="2"/>
          </rPr>
          <t>&lt;[[DEVDeals] - [Associated TC Deal (Seq: 1)] - [TC Property Current Stage (Seq: 1)] - [Unit Mix (Seq: 16)] Income Target - Send]&gt;</t>
        </r>
      </text>
    </comment>
    <comment ref="F155" authorId="2" shapeId="0" xr:uid="{00000000-0006-0000-0700-000094000000}">
      <text>
        <r>
          <rPr>
            <b/>
            <sz val="9"/>
            <color indexed="81"/>
            <rFont val="Tahoma"/>
            <family val="2"/>
          </rPr>
          <t>&lt;[[DEVDeals] - [Associated TC Deal (Seq: 1)] - [TC Property Current Stage (Seq: 1)] - [Unit Mix (Seq: 17)] TC Unit Mix Type - Send]&gt;</t>
        </r>
      </text>
    </comment>
    <comment ref="F156" authorId="2" shapeId="0" xr:uid="{00000000-0006-0000-0700-000095000000}">
      <text>
        <r>
          <rPr>
            <b/>
            <sz val="9"/>
            <color indexed="81"/>
            <rFont val="Tahoma"/>
            <family val="2"/>
          </rPr>
          <t>&lt;[[DEVDeals] - [Associated TC Deal (Seq: 1)] - [TC Property Current Stage (Seq: 1)] - [Unit Mix (Seq: 17)] Num Units - Send]&gt;</t>
        </r>
      </text>
    </comment>
    <comment ref="F157" authorId="2" shapeId="0" xr:uid="{00000000-0006-0000-0700-000096000000}">
      <text>
        <r>
          <rPr>
            <b/>
            <sz val="9"/>
            <color indexed="81"/>
            <rFont val="Tahoma"/>
            <family val="2"/>
          </rPr>
          <t>&lt;[[DEVDeals] - [Associated TC Deal (Seq: 1)] - [TC Property Current Stage (Seq: 1)] - [Unit Mix (Seq: 17)] Income Target - Send]&gt;</t>
        </r>
      </text>
    </comment>
    <comment ref="F158" authorId="2" shapeId="0" xr:uid="{00000000-0006-0000-0700-000097000000}">
      <text>
        <r>
          <rPr>
            <b/>
            <sz val="9"/>
            <color indexed="81"/>
            <rFont val="Tahoma"/>
            <family val="2"/>
          </rPr>
          <t>&lt;[[DEVDeals] - [Associated TC Deal (Seq: 1)] - [TC Property Current Stage (Seq: 1)] - [Unit Mix (Seq: 18)] TC Unit Mix Type - Send]&gt;</t>
        </r>
      </text>
    </comment>
    <comment ref="F159" authorId="2" shapeId="0" xr:uid="{00000000-0006-0000-0700-000098000000}">
      <text>
        <r>
          <rPr>
            <b/>
            <sz val="9"/>
            <color indexed="81"/>
            <rFont val="Tahoma"/>
            <family val="2"/>
          </rPr>
          <t>&lt;[[DEVDeals] - [Associated TC Deal (Seq: 1)] - [TC Property Current Stage (Seq: 1)] - [Unit Mix (Seq: 18)] Num Units - Send]&gt;</t>
        </r>
      </text>
    </comment>
    <comment ref="F160" authorId="2" shapeId="0" xr:uid="{00000000-0006-0000-0700-000099000000}">
      <text>
        <r>
          <rPr>
            <b/>
            <sz val="9"/>
            <color indexed="81"/>
            <rFont val="Tahoma"/>
            <family val="2"/>
          </rPr>
          <t>&lt;[[DEVDeals] - [Associated TC Deal (Seq: 1)] - [TC Property Current Stage (Seq: 1)] - [Unit Mix (Seq: 18)] Income Target - Send]&gt;</t>
        </r>
      </text>
    </comment>
    <comment ref="F161" authorId="2" shapeId="0" xr:uid="{00000000-0006-0000-0700-00009A000000}">
      <text>
        <r>
          <rPr>
            <b/>
            <sz val="9"/>
            <color indexed="81"/>
            <rFont val="Tahoma"/>
            <family val="2"/>
          </rPr>
          <t>&lt;[[DEVDeals] - [Associated TC Deal (Seq: 1)] - [TC Property Current Stage (Seq: 1)] - [Unit Mix (Seq: 19)] TC Unit Mix Type - Send]&gt;</t>
        </r>
      </text>
    </comment>
    <comment ref="F162" authorId="2" shapeId="0" xr:uid="{00000000-0006-0000-0700-00009B000000}">
      <text>
        <r>
          <rPr>
            <b/>
            <sz val="9"/>
            <color indexed="81"/>
            <rFont val="Tahoma"/>
            <family val="2"/>
          </rPr>
          <t>&lt;[[DEVDeals] - [Associated TC Deal (Seq: 1)] - [TC Property Current Stage (Seq: 1)] - [Unit Mix (Seq: 19)] Num Units - Send]&gt;</t>
        </r>
      </text>
    </comment>
    <comment ref="F163" authorId="2" shapeId="0" xr:uid="{00000000-0006-0000-0700-00009C000000}">
      <text>
        <r>
          <rPr>
            <b/>
            <sz val="9"/>
            <color indexed="81"/>
            <rFont val="Tahoma"/>
            <family val="2"/>
          </rPr>
          <t>&lt;[[DEVDeals] - [Associated TC Deal (Seq: 1)] - [TC Property Current Stage (Seq: 1)] - [Unit Mix (Seq: 19)] Income Target - Send]&gt;</t>
        </r>
      </text>
    </comment>
    <comment ref="F164" authorId="2" shapeId="0" xr:uid="{00000000-0006-0000-0700-00009D000000}">
      <text>
        <r>
          <rPr>
            <b/>
            <sz val="9"/>
            <color indexed="81"/>
            <rFont val="Tahoma"/>
            <family val="2"/>
          </rPr>
          <t>&lt;[[DEVDeals] - [Associated TC Deal (Seq: 1)] - [TC Property Current Stage (Seq: 1)] - [Unit Mix (Seq: 20)] TC Unit Mix Type - Send]&gt;</t>
        </r>
      </text>
    </comment>
    <comment ref="F165" authorId="2" shapeId="0" xr:uid="{00000000-0006-0000-0700-00009E000000}">
      <text>
        <r>
          <rPr>
            <b/>
            <sz val="9"/>
            <color indexed="81"/>
            <rFont val="Tahoma"/>
            <family val="2"/>
          </rPr>
          <t>&lt;[[DEVDeals] - [Associated TC Deal (Seq: 1)] - [TC Property Current Stage (Seq: 1)] - [Unit Mix (Seq: 20)] Num Units - Send]&gt;</t>
        </r>
      </text>
    </comment>
    <comment ref="F166" authorId="2" shapeId="0" xr:uid="{00000000-0006-0000-0700-00009F000000}">
      <text>
        <r>
          <rPr>
            <b/>
            <sz val="9"/>
            <color indexed="81"/>
            <rFont val="Tahoma"/>
            <family val="2"/>
          </rPr>
          <t>&lt;[[DEVDeals] - [Associated TC Deal (Seq: 1)] - [TC Property Current Stage (Seq: 1)] - [Unit Mix (Seq: 20)] Income Target - Send]&gt;</t>
        </r>
      </text>
    </comment>
    <comment ref="F167" authorId="2" shapeId="0" xr:uid="{00000000-0006-0000-0700-0000A0000000}">
      <text>
        <r>
          <rPr>
            <b/>
            <sz val="9"/>
            <color indexed="81"/>
            <rFont val="Tahoma"/>
            <family val="2"/>
          </rPr>
          <t>&lt;[[DEVDeals] - [Associated TC Deal (Seq: 1)] - [TC Property Current Stage (Seq: 1)] - [Unit Mix (Seq: 21)] TC Unit Mix Type - Send]&gt;</t>
        </r>
      </text>
    </comment>
    <comment ref="F168" authorId="2" shapeId="0" xr:uid="{00000000-0006-0000-0700-0000A1000000}">
      <text>
        <r>
          <rPr>
            <b/>
            <sz val="9"/>
            <color indexed="81"/>
            <rFont val="Tahoma"/>
            <family val="2"/>
          </rPr>
          <t>&lt;[[DEVDeals] - [Associated TC Deal (Seq: 1)] - [TC Property Current Stage (Seq: 1)] - [Unit Mix (Seq: 21)] Num Units - Send]&gt;</t>
        </r>
      </text>
    </comment>
    <comment ref="F169" authorId="2" shapeId="0" xr:uid="{00000000-0006-0000-0700-0000A2000000}">
      <text>
        <r>
          <rPr>
            <b/>
            <sz val="9"/>
            <color indexed="81"/>
            <rFont val="Tahoma"/>
            <family val="2"/>
          </rPr>
          <t>&lt;[[DEVDeals] - [Associated TC Deal (Seq: 1)] - [TC Property Current Stage (Seq: 1)] - [Unit Mix (Seq: 21)] Income Target - Send]&gt;</t>
        </r>
      </text>
    </comment>
    <comment ref="F170" authorId="2" shapeId="0" xr:uid="{00000000-0006-0000-0700-0000A3000000}">
      <text>
        <r>
          <rPr>
            <b/>
            <sz val="9"/>
            <color indexed="81"/>
            <rFont val="Tahoma"/>
            <family val="2"/>
          </rPr>
          <t>&lt;[[DEVDeals] - [Associated TC Deal (Seq: 1)] - [TC Property Current Stage (Seq: 1)] - [Unit Mix (Seq: 22)] TC Unit Mix Type - Send]&gt;</t>
        </r>
      </text>
    </comment>
    <comment ref="F171" authorId="2" shapeId="0" xr:uid="{00000000-0006-0000-0700-0000A4000000}">
      <text>
        <r>
          <rPr>
            <b/>
            <sz val="9"/>
            <color indexed="81"/>
            <rFont val="Tahoma"/>
            <family val="2"/>
          </rPr>
          <t>&lt;[[DEVDeals] - [Associated TC Deal (Seq: 1)] - [TC Property Current Stage (Seq: 1)] - [Unit Mix (Seq: 22)] Num Units - Send]&gt;</t>
        </r>
      </text>
    </comment>
    <comment ref="F172" authorId="2" shapeId="0" xr:uid="{00000000-0006-0000-0700-0000A5000000}">
      <text>
        <r>
          <rPr>
            <b/>
            <sz val="9"/>
            <color indexed="81"/>
            <rFont val="Tahoma"/>
            <family val="2"/>
          </rPr>
          <t>&lt;[[DEVDeals] - [Associated TC Deal (Seq: 1)] - [TC Property Current Stage (Seq: 1)] - [Unit Mix (Seq: 22)] Income Target - Send]&gt;</t>
        </r>
      </text>
    </comment>
    <comment ref="F173" authorId="2" shapeId="0" xr:uid="{00000000-0006-0000-0700-0000A6000000}">
      <text>
        <r>
          <rPr>
            <b/>
            <sz val="9"/>
            <color indexed="81"/>
            <rFont val="Tahoma"/>
            <family val="2"/>
          </rPr>
          <t>&lt;[[DEVDeals] - [Associated TC Deal (Seq: 1)] - [TC Property Current Stage (Seq: 1)] - [Unit Mix (Seq: 23)] TC Unit Mix Type - Send]&gt;</t>
        </r>
      </text>
    </comment>
    <comment ref="F174" authorId="2" shapeId="0" xr:uid="{00000000-0006-0000-0700-0000A7000000}">
      <text>
        <r>
          <rPr>
            <b/>
            <sz val="9"/>
            <color indexed="81"/>
            <rFont val="Tahoma"/>
            <family val="2"/>
          </rPr>
          <t>&lt;[[DEVDeals] - [Associated TC Deal (Seq: 1)] - [TC Property Current Stage (Seq: 1)] - [Unit Mix (Seq: 23)] Num Units - Send]&gt;</t>
        </r>
      </text>
    </comment>
    <comment ref="F175" authorId="2" shapeId="0" xr:uid="{00000000-0006-0000-0700-0000A8000000}">
      <text>
        <r>
          <rPr>
            <b/>
            <sz val="9"/>
            <color indexed="81"/>
            <rFont val="Tahoma"/>
            <family val="2"/>
          </rPr>
          <t>&lt;[[DEVDeals] - [Associated TC Deal (Seq: 1)] - [TC Property Current Stage (Seq: 1)] - [Unit Mix (Seq: 23)] Income Target - Send]&gt;</t>
        </r>
      </text>
    </comment>
    <comment ref="F176" authorId="2" shapeId="0" xr:uid="{00000000-0006-0000-0700-0000A9000000}">
      <text>
        <r>
          <rPr>
            <b/>
            <sz val="9"/>
            <color indexed="81"/>
            <rFont val="Tahoma"/>
            <family val="2"/>
          </rPr>
          <t>&lt;[[DEVDeals] - [Associated TC Deal (Seq: 1)] - [TC Property Current Stage (Seq: 1)] - [Unit Mix (Seq: 24)] TC Unit Mix Type - Send]&gt;</t>
        </r>
      </text>
    </comment>
    <comment ref="F177" authorId="2" shapeId="0" xr:uid="{00000000-0006-0000-0700-0000AA000000}">
      <text>
        <r>
          <rPr>
            <b/>
            <sz val="9"/>
            <color indexed="81"/>
            <rFont val="Tahoma"/>
            <family val="2"/>
          </rPr>
          <t>&lt;[[DEVDeals] - [Associated TC Deal (Seq: 1)] - [TC Property Current Stage (Seq: 1)] - [Unit Mix (Seq: 24)] Num Units - Send]&gt;</t>
        </r>
      </text>
    </comment>
    <comment ref="F178" authorId="2" shapeId="0" xr:uid="{00000000-0006-0000-0700-0000AB000000}">
      <text>
        <r>
          <rPr>
            <b/>
            <sz val="9"/>
            <color indexed="81"/>
            <rFont val="Tahoma"/>
            <family val="2"/>
          </rPr>
          <t>&lt;[[DEVDeals] - [Associated TC Deal (Seq: 1)] - [TC Property Current Stage (Seq: 1)] - [Unit Mix (Seq: 24)] Income Target - Send]&gt;</t>
        </r>
      </text>
    </comment>
    <comment ref="F179" authorId="2" shapeId="0" xr:uid="{00000000-0006-0000-0700-0000AC000000}">
      <text>
        <r>
          <rPr>
            <b/>
            <sz val="9"/>
            <color indexed="81"/>
            <rFont val="Tahoma"/>
            <family val="2"/>
          </rPr>
          <t>&lt;[[DEVDeals] - [Associated TC Deal (Seq: 1)] - [TC Property Current Stage (Seq: 1)] - [Unit Mix (Seq: 25)] TC Unit Mix Type - Send]&gt;</t>
        </r>
      </text>
    </comment>
    <comment ref="F180" authorId="2" shapeId="0" xr:uid="{00000000-0006-0000-0700-0000AD000000}">
      <text>
        <r>
          <rPr>
            <b/>
            <sz val="9"/>
            <color indexed="81"/>
            <rFont val="Tahoma"/>
            <family val="2"/>
          </rPr>
          <t>&lt;[[DEVDeals] - [Associated TC Deal (Seq: 1)] - [TC Property Current Stage (Seq: 1)] - [Unit Mix (Seq: 25)] Num Units - Send]&gt;</t>
        </r>
      </text>
    </comment>
    <comment ref="F181" authorId="2" shapeId="0" xr:uid="{00000000-0006-0000-0700-0000AE000000}">
      <text>
        <r>
          <rPr>
            <b/>
            <sz val="9"/>
            <color indexed="81"/>
            <rFont val="Tahoma"/>
            <family val="2"/>
          </rPr>
          <t>&lt;[[DEVDeals] - [Associated TC Deal (Seq: 1)] - [TC Property Current Stage (Seq: 1)] - [Unit Mix (Seq: 25)] Income Target - Send]&gt;</t>
        </r>
      </text>
    </comment>
    <comment ref="F182" authorId="2" shapeId="0" xr:uid="{00000000-0006-0000-0700-0000AF000000}">
      <text>
        <r>
          <rPr>
            <b/>
            <sz val="9"/>
            <color indexed="81"/>
            <rFont val="Tahoma"/>
            <family val="2"/>
          </rPr>
          <t>&lt;[[DEVDeals] - [Associated TC Deal (Seq: 1)] - [TC Property Current Stage (Seq: 1)] - [Unit Mix (Seq: 26)] TC Unit Mix Type - Send]&gt;</t>
        </r>
      </text>
    </comment>
    <comment ref="F183" authorId="2" shapeId="0" xr:uid="{00000000-0006-0000-0700-0000B0000000}">
      <text>
        <r>
          <rPr>
            <b/>
            <sz val="9"/>
            <color indexed="81"/>
            <rFont val="Tahoma"/>
            <family val="2"/>
          </rPr>
          <t>&lt;[[DEVDeals] - [Associated TC Deal (Seq: 1)] - [TC Property Current Stage (Seq: 1)] - [Unit Mix (Seq: 26)] Num Units - Send]&gt;</t>
        </r>
      </text>
    </comment>
    <comment ref="F184" authorId="2" shapeId="0" xr:uid="{00000000-0006-0000-0700-0000B1000000}">
      <text>
        <r>
          <rPr>
            <b/>
            <sz val="9"/>
            <color indexed="81"/>
            <rFont val="Tahoma"/>
            <family val="2"/>
          </rPr>
          <t>&lt;[[DEVDeals] - [Associated TC Deal (Seq: 1)] - [TC Property Current Stage (Seq: 1)] - [Unit Mix (Seq: 26)] Income Target - Send]&gt;</t>
        </r>
      </text>
    </comment>
    <comment ref="F185" authorId="2" shapeId="0" xr:uid="{00000000-0006-0000-0700-0000B2000000}">
      <text>
        <r>
          <rPr>
            <b/>
            <sz val="9"/>
            <color indexed="81"/>
            <rFont val="Tahoma"/>
            <family val="2"/>
          </rPr>
          <t>&lt;[[DEVDeals] - [Associated TC Deal (Seq: 1)] - [TC Property Current Stage (Seq: 1)] - [Unit Mix (Seq: 27)] TC Unit Mix Type - Send]&gt;</t>
        </r>
      </text>
    </comment>
    <comment ref="F186" authorId="2" shapeId="0" xr:uid="{00000000-0006-0000-0700-0000B3000000}">
      <text>
        <r>
          <rPr>
            <b/>
            <sz val="9"/>
            <color indexed="81"/>
            <rFont val="Tahoma"/>
            <family val="2"/>
          </rPr>
          <t>&lt;[[DEVDeals] - [Associated TC Deal (Seq: 1)] - [TC Property Current Stage (Seq: 1)] - [Unit Mix (Seq: 27)] Num Units - Send]&gt;</t>
        </r>
      </text>
    </comment>
    <comment ref="F187" authorId="2" shapeId="0" xr:uid="{00000000-0006-0000-0700-0000B4000000}">
      <text>
        <r>
          <rPr>
            <b/>
            <sz val="9"/>
            <color indexed="81"/>
            <rFont val="Tahoma"/>
            <family val="2"/>
          </rPr>
          <t>&lt;[[DEVDeals] - [Associated TC Deal (Seq: 1)] - [TC Property Current Stage (Seq: 1)] - [Unit Mix (Seq: 27)] Income Target - Send]&gt;</t>
        </r>
      </text>
    </comment>
    <comment ref="F188" authorId="2" shapeId="0" xr:uid="{00000000-0006-0000-0700-0000B5000000}">
      <text>
        <r>
          <rPr>
            <b/>
            <sz val="9"/>
            <color indexed="81"/>
            <rFont val="Tahoma"/>
            <family val="2"/>
          </rPr>
          <t>&lt;[[DEVDeals] - [Associated TC Deal (Seq: 1)] - [TC Property Current Stage (Seq: 1)] - [Unit Mix (Seq: 28)] TC Unit Mix Type - Send]&gt;</t>
        </r>
      </text>
    </comment>
    <comment ref="F189" authorId="2" shapeId="0" xr:uid="{00000000-0006-0000-0700-0000B6000000}">
      <text>
        <r>
          <rPr>
            <b/>
            <sz val="9"/>
            <color indexed="81"/>
            <rFont val="Tahoma"/>
            <family val="2"/>
          </rPr>
          <t>&lt;[[DEVDeals] - [Associated TC Deal (Seq: 1)] - [TC Property Current Stage (Seq: 1)] - [Unit Mix (Seq: 28)] Num Units - Send]&gt;</t>
        </r>
      </text>
    </comment>
    <comment ref="F190" authorId="2" shapeId="0" xr:uid="{00000000-0006-0000-0700-0000B7000000}">
      <text>
        <r>
          <rPr>
            <b/>
            <sz val="9"/>
            <color indexed="81"/>
            <rFont val="Tahoma"/>
            <family val="2"/>
          </rPr>
          <t>&lt;[[DEVDeals] - [Associated TC Deal (Seq: 1)] - [TC Property Current Stage (Seq: 1)] - [Unit Mix (Seq: 28)] Income Target - Send]&gt;</t>
        </r>
      </text>
    </comment>
    <comment ref="F191" authorId="2" shapeId="0" xr:uid="{00000000-0006-0000-0700-0000B8000000}">
      <text>
        <r>
          <rPr>
            <b/>
            <sz val="9"/>
            <color indexed="81"/>
            <rFont val="Tahoma"/>
            <family val="2"/>
          </rPr>
          <t>&lt;[[DEVDeals] - [Associated TC Deal (Seq: 1)] - [TC Property Current Stage (Seq: 1)] - [Unit Mix (Seq: 29)] TC Unit Mix Type - Send]&gt;</t>
        </r>
      </text>
    </comment>
    <comment ref="F192" authorId="2" shapeId="0" xr:uid="{00000000-0006-0000-0700-0000B9000000}">
      <text>
        <r>
          <rPr>
            <b/>
            <sz val="9"/>
            <color indexed="81"/>
            <rFont val="Tahoma"/>
            <family val="2"/>
          </rPr>
          <t>&lt;[[DEVDeals] - [Associated TC Deal (Seq: 1)] - [TC Property Current Stage (Seq: 1)] - [Unit Mix (Seq: 29)] Num Units - Send]&gt;</t>
        </r>
      </text>
    </comment>
    <comment ref="F193" authorId="2" shapeId="0" xr:uid="{00000000-0006-0000-0700-0000BA000000}">
      <text>
        <r>
          <rPr>
            <b/>
            <sz val="9"/>
            <color indexed="81"/>
            <rFont val="Tahoma"/>
            <family val="2"/>
          </rPr>
          <t>&lt;[[DEVDeals] - [Associated TC Deal (Seq: 1)] - [TC Property Current Stage (Seq: 1)] - [Unit Mix (Seq: 29)] Income Target - Send]&gt;</t>
        </r>
      </text>
    </comment>
    <comment ref="F194" authorId="2" shapeId="0" xr:uid="{00000000-0006-0000-0700-0000BB000000}">
      <text>
        <r>
          <rPr>
            <b/>
            <sz val="9"/>
            <color indexed="81"/>
            <rFont val="Tahoma"/>
            <family val="2"/>
          </rPr>
          <t>&lt;[[DEVDeals] - [Associated TC Deal (Seq: 1)] - [TC Property Current Stage (Seq: 1)] - [Unit Mix (Seq: 30)] TC Unit Mix Type - Send]&gt;</t>
        </r>
      </text>
    </comment>
    <comment ref="F195" authorId="2" shapeId="0" xr:uid="{00000000-0006-0000-0700-0000BC000000}">
      <text>
        <r>
          <rPr>
            <b/>
            <sz val="9"/>
            <color indexed="81"/>
            <rFont val="Tahoma"/>
            <family val="2"/>
          </rPr>
          <t>&lt;[[DEVDeals] - [Associated TC Deal (Seq: 1)] - [TC Property Current Stage (Seq: 1)] - [Unit Mix (Seq: 30)] Num Units - Send]&gt;</t>
        </r>
      </text>
    </comment>
    <comment ref="F196" authorId="2" shapeId="0" xr:uid="{00000000-0006-0000-0700-0000BD000000}">
      <text>
        <r>
          <rPr>
            <b/>
            <sz val="9"/>
            <color indexed="81"/>
            <rFont val="Tahoma"/>
            <family val="2"/>
          </rPr>
          <t>&lt;[[DEVDeals] - [Associated TC Deal (Seq: 1)] - [TC Property Current Stage (Seq: 1)] - [Unit Mix (Seq: 30)] Income Target - Send]&gt;</t>
        </r>
      </text>
    </comment>
    <comment ref="F205" authorId="0" shapeId="0" xr:uid="{67F5E32C-63C8-48E0-900C-4A51A4A9218A}">
      <text>
        <r>
          <rPr>
            <b/>
            <sz val="9"/>
            <color indexed="81"/>
            <rFont val="Tahoma"/>
            <family val="2"/>
          </rPr>
          <t>&lt;[[DEVDeals] - [DEV User Defined Fields (Seq: 1)] NOFA Reporting - Is Metro Pool - Send]&gt;</t>
        </r>
      </text>
    </comment>
    <comment ref="F206" authorId="0" shapeId="0" xr:uid="{8668B3B5-8B84-4AF3-8500-50173931B5CB}">
      <text>
        <r>
          <rPr>
            <b/>
            <sz val="9"/>
            <color indexed="81"/>
            <rFont val="Tahoma"/>
            <family val="2"/>
          </rPr>
          <t>&lt;[[DEVDeals] - [DEV User Defined Fields (Seq: 1)] NOFA Reporting - Is PJ Region Pool - Send]&gt;</t>
        </r>
      </text>
    </comment>
    <comment ref="F207" authorId="0" shapeId="0" xr:uid="{25C42424-04E0-48FE-B051-D69A947C5B0A}">
      <text>
        <r>
          <rPr>
            <b/>
            <sz val="9"/>
            <color indexed="81"/>
            <rFont val="Tahoma"/>
            <family val="2"/>
          </rPr>
          <t>&lt;[[DEVDeals] - [DEV User Defined Fields (Seq: 1)] NOFA Reporting - Is Balance of State Urban - Send]&gt;</t>
        </r>
      </text>
    </comment>
    <comment ref="F208" authorId="0" shapeId="0" xr:uid="{3443147B-5792-444B-8F22-C1A20D8D5888}">
      <text>
        <r>
          <rPr>
            <b/>
            <sz val="9"/>
            <color indexed="81"/>
            <rFont val="Tahoma"/>
            <family val="2"/>
          </rPr>
          <t>&lt;[[DEVDeals] - [DEV User Defined Fields (Seq: 1)] NOFA Reporting - Is Balance of State Non Urban - Send]&gt;</t>
        </r>
      </text>
    </comment>
    <comment ref="F209" authorId="0" shapeId="0" xr:uid="{82554C1D-B68B-43D0-8AC0-B4CEE0F222D8}">
      <text>
        <r>
          <rPr>
            <b/>
            <sz val="9"/>
            <color indexed="81"/>
            <rFont val="Tahoma"/>
            <family val="2"/>
          </rPr>
          <t>&lt;[[DEVDeals] - [DEV User Defined Fields (Seq: 1)] NOFA Reporting - Is Tribal - Send]&gt;</t>
        </r>
      </text>
    </comment>
    <comment ref="F210" authorId="0" shapeId="0" xr:uid="{5EE71921-D5AE-486B-921B-98EAC02C84C2}">
      <text>
        <r>
          <rPr>
            <b/>
            <sz val="9"/>
            <color indexed="81"/>
            <rFont val="Tahoma"/>
            <family val="2"/>
          </rPr>
          <t>&lt;[[DEVDeals] - [DEV User Defined Fields (Seq: 1)] NOFA Reporting - Is Preservation - Send]&gt;</t>
        </r>
      </text>
    </comment>
  </commentList>
</comments>
</file>

<file path=xl/sharedStrings.xml><?xml version="1.0" encoding="utf-8"?>
<sst xmlns="http://schemas.openxmlformats.org/spreadsheetml/2006/main" count="3582" uniqueCount="828">
  <si>
    <t>SUBMISSION DATE:</t>
  </si>
  <si>
    <t>Project Location</t>
  </si>
  <si>
    <t>SITE A</t>
  </si>
  <si>
    <t>SITE B</t>
  </si>
  <si>
    <t>SITE C</t>
  </si>
  <si>
    <t>SITE D</t>
  </si>
  <si>
    <t>SITE E</t>
  </si>
  <si>
    <t>SITE F</t>
  </si>
  <si>
    <t>Project Name</t>
  </si>
  <si>
    <t>Address (be specific)</t>
  </si>
  <si>
    <t>City or Township</t>
  </si>
  <si>
    <t xml:space="preserve"> If jurisdiction is not listed, please enter name here:</t>
  </si>
  <si>
    <t>Zip Code (First 5 Digits)</t>
  </si>
  <si>
    <t>Zip Code (Additional 4 Digits)</t>
  </si>
  <si>
    <t>Scattered Site</t>
  </si>
  <si>
    <t>County</t>
  </si>
  <si>
    <t>If yes, how many?</t>
  </si>
  <si>
    <t>Latitude</t>
  </si>
  <si>
    <t>Majority of Units' Construction Type</t>
  </si>
  <si>
    <t>Longitude</t>
  </si>
  <si>
    <t>State Senate District</t>
  </si>
  <si>
    <t>State House District</t>
  </si>
  <si>
    <t>US Congressional District</t>
  </si>
  <si>
    <t>11-Digit Census Tract, No Spaces/Decimals</t>
  </si>
  <si>
    <t>Title</t>
  </si>
  <si>
    <t>Address</t>
  </si>
  <si>
    <t>City</t>
  </si>
  <si>
    <t>State</t>
  </si>
  <si>
    <t>Program &amp; Pool Information</t>
  </si>
  <si>
    <t>Type of Project</t>
  </si>
  <si>
    <t>Other, describe</t>
  </si>
  <si>
    <t>Project Rents and Income Levels</t>
  </si>
  <si>
    <t>1BR</t>
  </si>
  <si>
    <t>2BR</t>
  </si>
  <si>
    <t>3BR</t>
  </si>
  <si>
    <t>4BR+</t>
  </si>
  <si>
    <t>30% AMI</t>
  </si>
  <si>
    <t>40% AMI</t>
  </si>
  <si>
    <t>50% AMI</t>
  </si>
  <si>
    <t>60% AMI</t>
  </si>
  <si>
    <t>&gt;60% AMI</t>
  </si>
  <si>
    <t xml:space="preserve">Project History </t>
  </si>
  <si>
    <t xml:space="preserve">If prior allocation or award information is unavailable or incomplete, please enter all known information. </t>
  </si>
  <si>
    <t>If 'yes' to any of above, what was project #(s)?</t>
  </si>
  <si>
    <t>OHCS NOFA Pre-application</t>
  </si>
  <si>
    <t>NOFA Number:</t>
  </si>
  <si>
    <t>About the Applicant/Developer</t>
  </si>
  <si>
    <t>About the Co-Applicant/Co-Developer</t>
  </si>
  <si>
    <t>Developer Name</t>
  </si>
  <si>
    <t>Contact Person</t>
  </si>
  <si>
    <t>Salutation</t>
  </si>
  <si>
    <t>First Name</t>
  </si>
  <si>
    <t>Last Name</t>
  </si>
  <si>
    <t>Organization</t>
  </si>
  <si>
    <t>Zip Code + 4</t>
  </si>
  <si>
    <t>Federal Tax ID #</t>
  </si>
  <si>
    <t>Telephone #</t>
  </si>
  <si>
    <t>Webpage</t>
  </si>
  <si>
    <t>Cell #</t>
  </si>
  <si>
    <t>MWESB Status</t>
  </si>
  <si>
    <t>Email</t>
  </si>
  <si>
    <t xml:space="preserve">     If yes, which MWESB type</t>
  </si>
  <si>
    <t>Is this a "Capacity Building Partnership"?</t>
  </si>
  <si>
    <t>Was Co-Developer Agreement Executed?</t>
  </si>
  <si>
    <t>Consultant</t>
  </si>
  <si>
    <t>Consultant Name</t>
  </si>
  <si>
    <t>How long will the consultant be staying involved in the development process?</t>
  </si>
  <si>
    <t>About the General Contractor</t>
  </si>
  <si>
    <t>Same as other entity?</t>
  </si>
  <si>
    <t>If so, which?</t>
  </si>
  <si>
    <t>Other:</t>
  </si>
  <si>
    <t>General Contractor Name</t>
  </si>
  <si>
    <t xml:space="preserve">Is GC Affiliated with Owner and/or Developer? </t>
  </si>
  <si>
    <t>About Management Company</t>
  </si>
  <si>
    <t>Management Co. Name</t>
  </si>
  <si>
    <t>About the Architect of Record</t>
  </si>
  <si>
    <t>Architect Name</t>
  </si>
  <si>
    <t>TOTAL UNITS</t>
  </si>
  <si>
    <t>Total Development Cost</t>
  </si>
  <si>
    <t>Anticipated Funding Request</t>
  </si>
  <si>
    <t>HOME</t>
  </si>
  <si>
    <t>OAHTC</t>
  </si>
  <si>
    <t>Gap (GHAP and HDGP)</t>
  </si>
  <si>
    <t>What form of site control exists?</t>
  </si>
  <si>
    <t>Expires?</t>
  </si>
  <si>
    <t>Site Information</t>
  </si>
  <si>
    <t>Does this project require zone changes or annexation?</t>
  </si>
  <si>
    <t>Instructions</t>
  </si>
  <si>
    <t>How to Use this Workbook</t>
  </si>
  <si>
    <t>No entry necessary - auto-populating field</t>
  </si>
  <si>
    <t>Do not enter - not applicable to your application</t>
  </si>
  <si>
    <t>Unrestricted answer</t>
  </si>
  <si>
    <t>Drop-down or other restricted answer. Do not leave blank, select NA.</t>
  </si>
  <si>
    <t>Formula, auto-populate, or other locked cell</t>
  </si>
  <si>
    <t>Formula, auto-populate, blank, or other unlocked cell where overriding the formula is allowable but very unlikely</t>
  </si>
  <si>
    <t>Pre-Application Submission Requirements and Notices</t>
  </si>
  <si>
    <t>Is the site zoned for the purpose being used?</t>
  </si>
  <si>
    <t>General Pool - Metro</t>
  </si>
  <si>
    <t>General Pool - PJ Region</t>
  </si>
  <si>
    <t>General Pool - Balance of State Urban</t>
  </si>
  <si>
    <t>Tribal</t>
  </si>
  <si>
    <t>Preservation</t>
  </si>
  <si>
    <t>OHCS Set-Aside Category (Select yes for all that apply)</t>
  </si>
  <si>
    <t>Funding Solicitation</t>
  </si>
  <si>
    <r>
      <t xml:space="preserve">Has project ever </t>
    </r>
    <r>
      <rPr>
        <b/>
        <u/>
        <sz val="11"/>
        <color theme="1"/>
        <rFont val="Calibri"/>
        <family val="2"/>
        <scheme val="minor"/>
      </rPr>
      <t>applied</t>
    </r>
    <r>
      <rPr>
        <sz val="11"/>
        <color theme="1"/>
        <rFont val="Calibri"/>
        <family val="2"/>
        <scheme val="minor"/>
      </rPr>
      <t xml:space="preserve"> for OHCS funding?</t>
    </r>
  </si>
  <si>
    <r>
      <t xml:space="preserve">Has project ever </t>
    </r>
    <r>
      <rPr>
        <b/>
        <u/>
        <sz val="11"/>
        <color theme="1"/>
        <rFont val="Calibri"/>
        <family val="2"/>
        <scheme val="minor"/>
      </rPr>
      <t>received</t>
    </r>
    <r>
      <rPr>
        <sz val="11"/>
        <color theme="1"/>
        <rFont val="Calibri"/>
        <family val="2"/>
        <scheme val="minor"/>
      </rPr>
      <t xml:space="preserve"> OHCS funding?</t>
    </r>
  </si>
  <si>
    <t xml:space="preserve">Has project ever received LIHTCs? </t>
  </si>
  <si>
    <t>If 'yes' what is the primary BIN Number?</t>
  </si>
  <si>
    <t>OHCS LIHTC and HOME NOFA Pre-application</t>
  </si>
  <si>
    <t>Target Populations</t>
  </si>
  <si>
    <t>Expiration date</t>
  </si>
  <si>
    <t>LIFT Calculator</t>
  </si>
  <si>
    <t>Maximum allowable LIFT request</t>
  </si>
  <si>
    <t>LIFT</t>
  </si>
  <si>
    <t>% below cap</t>
  </si>
  <si>
    <t>Construction costs per unit</t>
  </si>
  <si>
    <t>Cost Information</t>
  </si>
  <si>
    <t>OHCS LIFT NOFA Pre-application</t>
  </si>
  <si>
    <t>Site Review Checklist due at Pre-application</t>
  </si>
  <si>
    <t>max $3 million per project</t>
  </si>
  <si>
    <t>Tab</t>
  </si>
  <si>
    <t>Section</t>
  </si>
  <si>
    <t>Field Name</t>
  </si>
  <si>
    <t>HFA Field Name</t>
  </si>
  <si>
    <t>Value</t>
  </si>
  <si>
    <t>Deal Name</t>
  </si>
  <si>
    <t>Deal Number</t>
  </si>
  <si>
    <t>Address1</t>
  </si>
  <si>
    <t>Zip Code</t>
  </si>
  <si>
    <t>LIFT Definition</t>
  </si>
  <si>
    <t xml:space="preserve">Notes: </t>
  </si>
  <si>
    <t>Adair Village</t>
  </si>
  <si>
    <t>Non-Urban</t>
  </si>
  <si>
    <t>1. Only includes cities with a population of over 1,000 people</t>
  </si>
  <si>
    <t>BAKER</t>
  </si>
  <si>
    <t>Adams</t>
  </si>
  <si>
    <t>2. Does not include unincorporated communities</t>
  </si>
  <si>
    <t>BENTON</t>
  </si>
  <si>
    <t>Adrian</t>
  </si>
  <si>
    <t>CLACKAMAS</t>
  </si>
  <si>
    <t>Albany</t>
  </si>
  <si>
    <t>Urban</t>
  </si>
  <si>
    <t>CLATSOP</t>
  </si>
  <si>
    <t>Amity</t>
  </si>
  <si>
    <t>COLUMBIA</t>
  </si>
  <si>
    <t>Antelope</t>
  </si>
  <si>
    <t>COOS</t>
  </si>
  <si>
    <t>Arlington</t>
  </si>
  <si>
    <t>CROOK</t>
  </si>
  <si>
    <t>Ashland</t>
  </si>
  <si>
    <t>CURRY</t>
  </si>
  <si>
    <t>Astoria</t>
  </si>
  <si>
    <t>DESCHUTES</t>
  </si>
  <si>
    <t>Athena</t>
  </si>
  <si>
    <t>DOUGLAS</t>
  </si>
  <si>
    <t>Aumsville</t>
  </si>
  <si>
    <t>GILLIAM</t>
  </si>
  <si>
    <t>Aurora</t>
  </si>
  <si>
    <t>GRANT</t>
  </si>
  <si>
    <t>Baker City</t>
  </si>
  <si>
    <t>HARNEY</t>
  </si>
  <si>
    <t>Bandon</t>
  </si>
  <si>
    <t>HOOD RIVER</t>
  </si>
  <si>
    <t>Banks</t>
  </si>
  <si>
    <t>JACKSON</t>
  </si>
  <si>
    <t>Barlow</t>
  </si>
  <si>
    <t>JEFFERSON</t>
  </si>
  <si>
    <t>Bay City</t>
  </si>
  <si>
    <t>JOSEPHINE</t>
  </si>
  <si>
    <t>Beaverton</t>
  </si>
  <si>
    <t>KLAMATH</t>
  </si>
  <si>
    <t>Bend</t>
  </si>
  <si>
    <t>LAKE</t>
  </si>
  <si>
    <t>Boardman</t>
  </si>
  <si>
    <t>LANE</t>
  </si>
  <si>
    <t>Bonanza</t>
  </si>
  <si>
    <t>LINCOLN</t>
  </si>
  <si>
    <t>Brookings</t>
  </si>
  <si>
    <t>LINN</t>
  </si>
  <si>
    <t>Brownsville</t>
  </si>
  <si>
    <t>MALHEUR</t>
  </si>
  <si>
    <t>Burns</t>
  </si>
  <si>
    <t>MARION</t>
  </si>
  <si>
    <t>Butte Falls</t>
  </si>
  <si>
    <t>MORROW</t>
  </si>
  <si>
    <t>Canby</t>
  </si>
  <si>
    <t>MULTNOMAH</t>
  </si>
  <si>
    <t>Cannon Beach</t>
  </si>
  <si>
    <t>POLK</t>
  </si>
  <si>
    <t>Canyon City</t>
  </si>
  <si>
    <t>SHERMAN</t>
  </si>
  <si>
    <t>Canyonville</t>
  </si>
  <si>
    <t>TILLAMOOK</t>
  </si>
  <si>
    <t>Carlton</t>
  </si>
  <si>
    <t>UMATILLA</t>
  </si>
  <si>
    <t>Cascade Locks</t>
  </si>
  <si>
    <t>UNION</t>
  </si>
  <si>
    <t>Cave Junction</t>
  </si>
  <si>
    <t>WALLOWA</t>
  </si>
  <si>
    <t>Central Point</t>
  </si>
  <si>
    <t>WASCO</t>
  </si>
  <si>
    <t>Chiloquin</t>
  </si>
  <si>
    <t>WASHINGTON</t>
  </si>
  <si>
    <t>Clatskanie</t>
  </si>
  <si>
    <t>WHEELER</t>
  </si>
  <si>
    <t>Coburg</t>
  </si>
  <si>
    <t>YAMHILL</t>
  </si>
  <si>
    <t>Columbia City</t>
  </si>
  <si>
    <t>Condon</t>
  </si>
  <si>
    <t>Coos Bay</t>
  </si>
  <si>
    <t>Coquille</t>
  </si>
  <si>
    <t>Cornelius</t>
  </si>
  <si>
    <t>Corvallis</t>
  </si>
  <si>
    <t>Cottage Grove</t>
  </si>
  <si>
    <t>Cove</t>
  </si>
  <si>
    <t>Creswell</t>
  </si>
  <si>
    <t>Culver</t>
  </si>
  <si>
    <t>Dallas</t>
  </si>
  <si>
    <t>Dayton</t>
  </si>
  <si>
    <t>Dayville</t>
  </si>
  <si>
    <t>Depoe Bay</t>
  </si>
  <si>
    <t>Detroit</t>
  </si>
  <si>
    <t>Donald</t>
  </si>
  <si>
    <t>Drain</t>
  </si>
  <si>
    <t>Dufur</t>
  </si>
  <si>
    <t>Dundee</t>
  </si>
  <si>
    <t>Dunes City</t>
  </si>
  <si>
    <t>Durham</t>
  </si>
  <si>
    <t>Eagle Point</t>
  </si>
  <si>
    <t>Echo</t>
  </si>
  <si>
    <t>Elgin</t>
  </si>
  <si>
    <t>Elkton</t>
  </si>
  <si>
    <t>Enterprise</t>
  </si>
  <si>
    <t>Estacada</t>
  </si>
  <si>
    <t>Eugene</t>
  </si>
  <si>
    <t>Fairview</t>
  </si>
  <si>
    <t>Falls City</t>
  </si>
  <si>
    <t>Florence</t>
  </si>
  <si>
    <t>Forest Grove</t>
  </si>
  <si>
    <t>Fossil</t>
  </si>
  <si>
    <t>Garibaldi</t>
  </si>
  <si>
    <t>Gaston</t>
  </si>
  <si>
    <t>Gates</t>
  </si>
  <si>
    <t>Gearhart</t>
  </si>
  <si>
    <t>Gervais</t>
  </si>
  <si>
    <t>Gladstone</t>
  </si>
  <si>
    <t>Glendale</t>
  </si>
  <si>
    <t>Gold Beach</t>
  </si>
  <si>
    <t>Gold Hill</t>
  </si>
  <si>
    <t>Granite</t>
  </si>
  <si>
    <t>Grants Pass</t>
  </si>
  <si>
    <t>Grass Valley</t>
  </si>
  <si>
    <t>Gresham</t>
  </si>
  <si>
    <t>Haines</t>
  </si>
  <si>
    <t>Halfway</t>
  </si>
  <si>
    <t>Halsey</t>
  </si>
  <si>
    <t>Happy Valley</t>
  </si>
  <si>
    <t>Harrisburg</t>
  </si>
  <si>
    <t>Helix</t>
  </si>
  <si>
    <t>Heppner</t>
  </si>
  <si>
    <t>Hermiston</t>
  </si>
  <si>
    <t>Hillsboro</t>
  </si>
  <si>
    <t>Hines</t>
  </si>
  <si>
    <t>Hood River</t>
  </si>
  <si>
    <t>Hubbard</t>
  </si>
  <si>
    <t>Huntington</t>
  </si>
  <si>
    <t>Idanha</t>
  </si>
  <si>
    <t>Imbler</t>
  </si>
  <si>
    <t>Independence</t>
  </si>
  <si>
    <t>Ione</t>
  </si>
  <si>
    <t>Irrigon</t>
  </si>
  <si>
    <t>Island City</t>
  </si>
  <si>
    <t>Jacksonville</t>
  </si>
  <si>
    <t>Jefferson</t>
  </si>
  <si>
    <t>John Day</t>
  </si>
  <si>
    <t>Johnson City</t>
  </si>
  <si>
    <t>Jordan Valley</t>
  </si>
  <si>
    <t>Joseph</t>
  </si>
  <si>
    <t>Junction City</t>
  </si>
  <si>
    <t>Keizer</t>
  </si>
  <si>
    <t>King City</t>
  </si>
  <si>
    <t>Klamath Falls</t>
  </si>
  <si>
    <t>Lafayette</t>
  </si>
  <si>
    <t>La Grande</t>
  </si>
  <si>
    <t>Lake Oswego</t>
  </si>
  <si>
    <t>Lakeside</t>
  </si>
  <si>
    <t>Lakeview</t>
  </si>
  <si>
    <t>La Pine</t>
  </si>
  <si>
    <t>Lebanon</t>
  </si>
  <si>
    <t>Lexington</t>
  </si>
  <si>
    <t>Lincoln City</t>
  </si>
  <si>
    <t>Lonerock</t>
  </si>
  <si>
    <t>Long Creek</t>
  </si>
  <si>
    <t>Lostine</t>
  </si>
  <si>
    <t>Lowell</t>
  </si>
  <si>
    <t>Lyons</t>
  </si>
  <si>
    <t>McMinnville</t>
  </si>
  <si>
    <t>Madras</t>
  </si>
  <si>
    <t>Malin</t>
  </si>
  <si>
    <t>Manzanita</t>
  </si>
  <si>
    <t>Maupin</t>
  </si>
  <si>
    <t>Maywood Park</t>
  </si>
  <si>
    <t>Medford</t>
  </si>
  <si>
    <t>Merrill</t>
  </si>
  <si>
    <t>Metolius</t>
  </si>
  <si>
    <t>Mill City</t>
  </si>
  <si>
    <t>Millersburg</t>
  </si>
  <si>
    <t>Milton-Freewater</t>
  </si>
  <si>
    <t>Milwaukie</t>
  </si>
  <si>
    <t>Mitchell</t>
  </si>
  <si>
    <t>Molalla</t>
  </si>
  <si>
    <t>Monmouth</t>
  </si>
  <si>
    <t>Monroe</t>
  </si>
  <si>
    <t>Monument</t>
  </si>
  <si>
    <t>Moro</t>
  </si>
  <si>
    <t>Mosier</t>
  </si>
  <si>
    <t>Mount Angel</t>
  </si>
  <si>
    <t>Mount Vernon</t>
  </si>
  <si>
    <t>Myrtle Creek</t>
  </si>
  <si>
    <t>Myrtle Point</t>
  </si>
  <si>
    <t>Nehalem</t>
  </si>
  <si>
    <t>Newberg</t>
  </si>
  <si>
    <t>Newport</t>
  </si>
  <si>
    <t>North Bend</t>
  </si>
  <si>
    <t>North Plains</t>
  </si>
  <si>
    <t>North Powder</t>
  </si>
  <si>
    <t>Nyssa</t>
  </si>
  <si>
    <t>Oakland</t>
  </si>
  <si>
    <t>Oakridge</t>
  </si>
  <si>
    <t>Ontario</t>
  </si>
  <si>
    <t>Oregon City</t>
  </si>
  <si>
    <t>Paisley</t>
  </si>
  <si>
    <t>Parkdale</t>
  </si>
  <si>
    <t>Pendleton</t>
  </si>
  <si>
    <t>Philomath</t>
  </si>
  <si>
    <t>Phoenix</t>
  </si>
  <si>
    <t>Pilot Rock</t>
  </si>
  <si>
    <t>Portland</t>
  </si>
  <si>
    <t>Port Orford</t>
  </si>
  <si>
    <t>Powers</t>
  </si>
  <si>
    <t>Prairie City</t>
  </si>
  <si>
    <t>Prescott</t>
  </si>
  <si>
    <t>Prineville</t>
  </si>
  <si>
    <t>Rainier</t>
  </si>
  <si>
    <t>Redmond</t>
  </si>
  <si>
    <t>Reedsport</t>
  </si>
  <si>
    <t>Richland</t>
  </si>
  <si>
    <t>Riddle</t>
  </si>
  <si>
    <t>Rivergrove</t>
  </si>
  <si>
    <t>Rockaway Beach</t>
  </si>
  <si>
    <t>Rogue River</t>
  </si>
  <si>
    <t>Roseburg</t>
  </si>
  <si>
    <t>Rufus</t>
  </si>
  <si>
    <t>St. Helens</t>
  </si>
  <si>
    <t>St. Paul</t>
  </si>
  <si>
    <t>Salem</t>
  </si>
  <si>
    <t>Sandy</t>
  </si>
  <si>
    <t>Scappoose</t>
  </si>
  <si>
    <t>Scio</t>
  </si>
  <si>
    <t>Scotts Mills</t>
  </si>
  <si>
    <t>Seaside</t>
  </si>
  <si>
    <t>Seneca</t>
  </si>
  <si>
    <t>Shady Cove</t>
  </si>
  <si>
    <t>Shaniko</t>
  </si>
  <si>
    <t>Sheridan</t>
  </si>
  <si>
    <t>Sherwood</t>
  </si>
  <si>
    <t>Siletz</t>
  </si>
  <si>
    <t>Silverton</t>
  </si>
  <si>
    <t>Sisters</t>
  </si>
  <si>
    <t>Sodaville</t>
  </si>
  <si>
    <t>Spray</t>
  </si>
  <si>
    <t>Springfield</t>
  </si>
  <si>
    <t>Stanfield</t>
  </si>
  <si>
    <t>Stayton</t>
  </si>
  <si>
    <t>Sublimity</t>
  </si>
  <si>
    <t>Summerville</t>
  </si>
  <si>
    <t>Sumpter</t>
  </si>
  <si>
    <t>Sutherlin</t>
  </si>
  <si>
    <t>Sweet Home</t>
  </si>
  <si>
    <t>Talent</t>
  </si>
  <si>
    <t>Tangent</t>
  </si>
  <si>
    <t>The Dalles</t>
  </si>
  <si>
    <t>Tigard</t>
  </si>
  <si>
    <t>Tillamook</t>
  </si>
  <si>
    <t>Toledo</t>
  </si>
  <si>
    <t>Troutdale</t>
  </si>
  <si>
    <t>Tualatin</t>
  </si>
  <si>
    <t>Turner</t>
  </si>
  <si>
    <t>Ukiah</t>
  </si>
  <si>
    <t>Umatilla</t>
  </si>
  <si>
    <t>Union</t>
  </si>
  <si>
    <t>Unity</t>
  </si>
  <si>
    <t>Vale</t>
  </si>
  <si>
    <t>Veneta</t>
  </si>
  <si>
    <t>Vernonia</t>
  </si>
  <si>
    <t>Waldport</t>
  </si>
  <si>
    <t>Wallowa</t>
  </si>
  <si>
    <t>Warrenton</t>
  </si>
  <si>
    <t>Wasco</t>
  </si>
  <si>
    <t>Waterloo</t>
  </si>
  <si>
    <t>Westfir</t>
  </si>
  <si>
    <t>West Linn</t>
  </si>
  <si>
    <t>Weston</t>
  </si>
  <si>
    <t>Wheeler</t>
  </si>
  <si>
    <t>Willamina</t>
  </si>
  <si>
    <t>Wilsonville</t>
  </si>
  <si>
    <t>Winston</t>
  </si>
  <si>
    <t>Woodburn</t>
  </si>
  <si>
    <t>Wood Village</t>
  </si>
  <si>
    <t>Yachats</t>
  </si>
  <si>
    <t>Yamhill</t>
  </si>
  <si>
    <t>Yoncalla</t>
  </si>
  <si>
    <t>Enter additional site information ---&gt;</t>
  </si>
  <si>
    <t>End of form</t>
  </si>
  <si>
    <t>OHCS DEAL NUMBER</t>
  </si>
  <si>
    <t>NOT LISTED</t>
  </si>
  <si>
    <t>NOFA #2016-1</t>
  </si>
  <si>
    <t>NOFA #2018-1</t>
  </si>
  <si>
    <t>NOFA #2019-4</t>
  </si>
  <si>
    <t>NOFA #4160</t>
  </si>
  <si>
    <t>NOFA #4161</t>
  </si>
  <si>
    <t>NOFA #4189</t>
  </si>
  <si>
    <t>NOFA #4190</t>
  </si>
  <si>
    <t>NOFA #4390</t>
  </si>
  <si>
    <t>NOFA #4391</t>
  </si>
  <si>
    <t>NOFA #4392</t>
  </si>
  <si>
    <t>NOFA #4428</t>
  </si>
  <si>
    <t>NOFA #4431</t>
  </si>
  <si>
    <t>NOFA #4474</t>
  </si>
  <si>
    <t>NOFA #4475</t>
  </si>
  <si>
    <t>NOFA #4514</t>
  </si>
  <si>
    <t>NOFA #4609</t>
  </si>
  <si>
    <t>NOFA #4610</t>
  </si>
  <si>
    <t>NOFA #4611</t>
  </si>
  <si>
    <t>NOFA #4612</t>
  </si>
  <si>
    <t>NOFA #5000</t>
  </si>
  <si>
    <t>NOFA #5001</t>
  </si>
  <si>
    <t>NOFA #5002</t>
  </si>
  <si>
    <t>NOFA #5003</t>
  </si>
  <si>
    <t>NOFA #5004</t>
  </si>
  <si>
    <t>NOFA #5006</t>
  </si>
  <si>
    <t>NOFA #5043</t>
  </si>
  <si>
    <t>Please Select the opportunity you are applying for:</t>
  </si>
  <si>
    <t>Current Solicitations</t>
  </si>
  <si>
    <t xml:space="preserve"> </t>
  </si>
  <si>
    <t>State Stenate Districts</t>
  </si>
  <si>
    <t>State House Districts</t>
  </si>
  <si>
    <t>US Congressional Districts</t>
  </si>
  <si>
    <t>1st</t>
  </si>
  <si>
    <t>2nd</t>
  </si>
  <si>
    <t>3rd</t>
  </si>
  <si>
    <t>4th</t>
  </si>
  <si>
    <t>5th</t>
  </si>
  <si>
    <t>SRO</t>
  </si>
  <si>
    <t>STU/0BR</t>
  </si>
  <si>
    <t>If 'yes', which NOFA # or Year(s)?</t>
  </si>
  <si>
    <t>Are there current rent or income restrictions tied to the property?</t>
  </si>
  <si>
    <t>If OHCS restrictions, what allocation year were they imposed?</t>
  </si>
  <si>
    <t>Application Workcenter</t>
  </si>
  <si>
    <t>OHCS WORKCENTER ID</t>
  </si>
  <si>
    <t>Upon submission of this pre-application OHCS will create an online portal workcenter for the full application, who should be invited from the development team to have access to the workcenter?</t>
  </si>
  <si>
    <t>Email Address</t>
  </si>
  <si>
    <t>First &amp; Last Name, Position</t>
  </si>
  <si>
    <t>Project Input</t>
  </si>
  <si>
    <t>OHCS Deal number</t>
  </si>
  <si>
    <t>Excel Name</t>
  </si>
  <si>
    <t>Deal_Name</t>
  </si>
  <si>
    <t>Deal_Number</t>
  </si>
  <si>
    <t>Baker</t>
  </si>
  <si>
    <t>Benton</t>
  </si>
  <si>
    <t>Clackamas</t>
  </si>
  <si>
    <t>Clatsop</t>
  </si>
  <si>
    <t>Columbia</t>
  </si>
  <si>
    <t>Coos</t>
  </si>
  <si>
    <t>Crook</t>
  </si>
  <si>
    <t>Curry</t>
  </si>
  <si>
    <t>Deschutes</t>
  </si>
  <si>
    <t>Douglas</t>
  </si>
  <si>
    <t>Gilliam</t>
  </si>
  <si>
    <t>Grant</t>
  </si>
  <si>
    <t>Harney</t>
  </si>
  <si>
    <t>Jackson</t>
  </si>
  <si>
    <t>Josephine</t>
  </si>
  <si>
    <t>Klamath</t>
  </si>
  <si>
    <t>Lake</t>
  </si>
  <si>
    <t>Lane</t>
  </si>
  <si>
    <t>Lincoln</t>
  </si>
  <si>
    <t>Linn</t>
  </si>
  <si>
    <t>Malheur</t>
  </si>
  <si>
    <t>Marion</t>
  </si>
  <si>
    <t>Morrow</t>
  </si>
  <si>
    <t>Multnomah</t>
  </si>
  <si>
    <t>Polk</t>
  </si>
  <si>
    <t>Sherman</t>
  </si>
  <si>
    <t>Washington</t>
  </si>
  <si>
    <t>Loc_Main_Lat</t>
  </si>
  <si>
    <t>Loc_Main_Lon</t>
  </si>
  <si>
    <t>Loc_Main_Senate</t>
  </si>
  <si>
    <t>Loc_Main_House</t>
  </si>
  <si>
    <t>Loc_Main_Congress</t>
  </si>
  <si>
    <t>Loc_Main_Census</t>
  </si>
  <si>
    <t>11 Digit Census Tract No.</t>
  </si>
  <si>
    <t>Is Are All Locations Same - Send</t>
  </si>
  <si>
    <t>Project Location - Site A</t>
  </si>
  <si>
    <t>Jurisdiction</t>
  </si>
  <si>
    <t>Project Location - Site B</t>
  </si>
  <si>
    <t>Project Location - Site C</t>
  </si>
  <si>
    <t>Project Location - Site D</t>
  </si>
  <si>
    <t>Project Location - Site E</t>
  </si>
  <si>
    <t>Project Location - Site F</t>
  </si>
  <si>
    <t>OHCS Preservation NOFA Pre-application</t>
  </si>
  <si>
    <t>Preservation Set-Aside (see NOFA for definitions)</t>
  </si>
  <si>
    <t>4% LIHTC Annual Allocation</t>
  </si>
  <si>
    <t>9% LIHTC Annual Allocation</t>
  </si>
  <si>
    <t>Develoment Team</t>
  </si>
  <si>
    <t>Deal Entity Role</t>
  </si>
  <si>
    <t>Company or Individual?</t>
  </si>
  <si>
    <t>Company</t>
  </si>
  <si>
    <t>Individual</t>
  </si>
  <si>
    <t>Agent Contact</t>
  </si>
  <si>
    <t>Auditor</t>
  </si>
  <si>
    <t>Business Relationship</t>
  </si>
  <si>
    <t>CCPC Contact</t>
  </si>
  <si>
    <t>Designated Owner</t>
  </si>
  <si>
    <t>Equity Investor</t>
  </si>
  <si>
    <t>General Contractor</t>
  </si>
  <si>
    <t>General Partner</t>
  </si>
  <si>
    <t>HAP Contact</t>
  </si>
  <si>
    <t>Insurance Broker</t>
  </si>
  <si>
    <t>Insurance Carrier</t>
  </si>
  <si>
    <t>Law Firm</t>
  </si>
  <si>
    <t>Limited Partner</t>
  </si>
  <si>
    <t>Management Entity Contact</t>
  </si>
  <si>
    <t>Managing Member</t>
  </si>
  <si>
    <t>Member</t>
  </si>
  <si>
    <t>Monitoring Fee Contact</t>
  </si>
  <si>
    <t>OAHTC Lender</t>
  </si>
  <si>
    <t>Other</t>
  </si>
  <si>
    <t>Owner Contact</t>
  </si>
  <si>
    <t>Site Contact</t>
  </si>
  <si>
    <t>Syndicator</t>
  </si>
  <si>
    <t>Title Company</t>
  </si>
  <si>
    <t>Developer</t>
  </si>
  <si>
    <t>Management Agent</t>
  </si>
  <si>
    <t>Owner</t>
  </si>
  <si>
    <t>Accountant</t>
  </si>
  <si>
    <t>Architect</t>
  </si>
  <si>
    <t>Lender</t>
  </si>
  <si>
    <t>Management Entity</t>
  </si>
  <si>
    <t>Mortgage Banker</t>
  </si>
  <si>
    <t>Partnership</t>
  </si>
  <si>
    <t>Name (Doing Business As)</t>
  </si>
  <si>
    <t>Address 1</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</si>
  <si>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</si>
  <si>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</si>
  <si>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</si>
  <si>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</si>
  <si>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</si>
  <si>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</si>
  <si>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</si>
  <si>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</si>
  <si>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</si>
  <si>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</si>
  <si>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</si>
  <si>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</si>
  <si>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</si>
  <si>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</si>
  <si>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</si>
  <si>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</si>
  <si>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</si>
  <si>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</si>
  <si>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</si>
  <si>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</si>
  <si>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</si>
  <si>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</si>
  <si>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</si>
  <si>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</si>
  <si>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</si>
  <si>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</si>
  <si>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</si>
  <si>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</si>
  <si>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</si>
  <si>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</si>
  <si>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</si>
  <si>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</si>
  <si>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</si>
  <si>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</si>
  <si>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</si>
  <si>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</si>
  <si>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</si>
  <si>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</si>
  <si>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</si>
  <si>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</si>
  <si>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</si>
  <si>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</si>
  <si>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</si>
  <si>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</si>
  <si>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</si>
  <si>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</si>
  <si>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</si>
  <si>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</si>
  <si>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</si>
  <si>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</si>
  <si>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</si>
  <si>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Tax ID Number</t>
  </si>
  <si>
    <t>Direct Phone</t>
  </si>
  <si>
    <t>Email Address 1</t>
  </si>
  <si>
    <t>6th</t>
  </si>
  <si>
    <t>7th</t>
  </si>
  <si>
    <t>8th</t>
  </si>
  <si>
    <t>9th</t>
  </si>
  <si>
    <t>10th</t>
  </si>
  <si>
    <t>11th</t>
  </si>
  <si>
    <t>12th</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</si>
  <si>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</si>
  <si>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</si>
  <si>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</si>
  <si>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</si>
  <si>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</si>
  <si>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</si>
  <si>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</si>
  <si>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</si>
  <si>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</si>
  <si>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</si>
  <si>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</si>
  <si>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</si>
  <si>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</si>
  <si>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</si>
  <si>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</si>
  <si>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</si>
  <si>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</si>
  <si>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</si>
  <si>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</si>
  <si>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</si>
  <si>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</si>
  <si>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</si>
  <si>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</si>
  <si>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</si>
  <si>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</si>
  <si>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</si>
  <si>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</si>
  <si>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</si>
  <si>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</si>
  <si>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</si>
  <si>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</si>
  <si>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</si>
  <si>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</si>
  <si>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</si>
  <si>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</si>
  <si>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</si>
  <si>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</si>
  <si>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</si>
  <si>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</si>
  <si>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</si>
  <si>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</si>
  <si>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</si>
  <si>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</si>
  <si>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</si>
  <si>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</si>
  <si>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</si>
  <si>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</si>
  <si>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</si>
  <si>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</si>
  <si>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</si>
  <si>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</si>
  <si>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</si>
  <si>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</si>
  <si>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</si>
  <si>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</si>
  <si>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</si>
  <si>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</si>
  <si>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</si>
  <si>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</si>
  <si>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</si>
  <si>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Co-Developer</t>
  </si>
  <si>
    <t>Oregon Multifamily Energy Program (OMEP)</t>
  </si>
  <si>
    <t>Permanent Supportive Housing Units</t>
  </si>
  <si>
    <t>Special Needs Population Unit Set-Aside</t>
  </si>
  <si>
    <t>Number of Units With Project-Based Rental Assistance</t>
  </si>
  <si>
    <t>Urban/Non-Urban</t>
  </si>
  <si>
    <t>General Pool - Balance of State Non-Urban</t>
  </si>
  <si>
    <t>Efficiency</t>
  </si>
  <si>
    <t>1 Bedroom</t>
  </si>
  <si>
    <t>2 Bedroom</t>
  </si>
  <si>
    <t>3 Bedroom</t>
  </si>
  <si>
    <t>4 Bedroom</t>
  </si>
  <si>
    <t>5 Bedroom</t>
  </si>
  <si>
    <t>MGR</t>
  </si>
  <si>
    <t>TC Unit Mix Type</t>
  </si>
  <si>
    <t>Num Units</t>
  </si>
  <si>
    <t>Market</t>
  </si>
  <si>
    <t>Income Target</t>
  </si>
  <si>
    <t>NOFA #2020-4</t>
  </si>
  <si>
    <t>NOFA #2020-5</t>
  </si>
  <si>
    <t>NOFA #2020-6</t>
  </si>
  <si>
    <t>Select the NOFA Number from the list:</t>
  </si>
  <si>
    <t>N/A - No Competitive Funds</t>
  </si>
  <si>
    <t>NOFA #2020-1</t>
  </si>
  <si>
    <t>NOFA #2020-2</t>
  </si>
  <si>
    <t>NOFA #2020-3</t>
  </si>
  <si>
    <t>NOFA #2020-7</t>
  </si>
  <si>
    <t>Lessee</t>
  </si>
  <si>
    <t>TCA Deal Number</t>
  </si>
  <si>
    <t>TCA Number</t>
  </si>
  <si>
    <t>TCA_Number</t>
  </si>
  <si>
    <t>OHCS Admin</t>
  </si>
  <si>
    <t>Tax Exempt Status/Entity Type</t>
  </si>
  <si>
    <t>Authorized Signor</t>
  </si>
  <si>
    <t>Correspondence</t>
  </si>
  <si>
    <t>Must have ability to bind the project ownership.</t>
  </si>
  <si>
    <t>All correspondence should be directed to:</t>
  </si>
  <si>
    <t>Business Name</t>
  </si>
  <si>
    <t>Contact</t>
  </si>
  <si>
    <t>Site Visit Contact</t>
  </si>
  <si>
    <t>Contact information for scheduling site visit:</t>
  </si>
  <si>
    <t>About the Consultant</t>
  </si>
  <si>
    <t>Vets-GHAP</t>
  </si>
  <si>
    <t>Priority Populations</t>
  </si>
  <si>
    <t>Units Set-Aside for Homeless Veterans</t>
  </si>
  <si>
    <t>% of Subsidy Cap Requested</t>
  </si>
  <si>
    <t>Subsidy cap estimate based on unit totals entered in table below, and calculated using values provided in the NOFA.</t>
  </si>
  <si>
    <t>Subsidy Cap Estimate</t>
  </si>
  <si>
    <t>OHCS Veterans-GHAP NOFA Pre-application</t>
  </si>
  <si>
    <t>PSH</t>
  </si>
  <si>
    <t>Federal Housing Trust Fund (HTF)</t>
  </si>
  <si>
    <t>Cohort Information</t>
  </si>
  <si>
    <t>Was this project a part of the first PSH Institute cohort (ending March 2020)?</t>
  </si>
  <si>
    <t>NOFA #2021-2</t>
  </si>
  <si>
    <t>Preservation Type</t>
  </si>
  <si>
    <t>Special Needs Population Occupied Units</t>
  </si>
  <si>
    <t>Qualified CHDO</t>
  </si>
  <si>
    <t>NOFA #2021-6</t>
  </si>
  <si>
    <t>NOFA #2021-4</t>
  </si>
  <si>
    <t>NOFA #2021-5</t>
  </si>
  <si>
    <t>Has this development team completed or currently participating in the PSH Institute training?</t>
  </si>
  <si>
    <t>Project Costs</t>
  </si>
  <si>
    <t>&lt;- if over $1 million, a 4% LIHTC pro forma must also be submitted</t>
  </si>
  <si>
    <t>&lt;- max $400,000 per project</t>
  </si>
  <si>
    <t>&lt;- max $3 million per project</t>
  </si>
  <si>
    <t>Total Development Cost Per Unit</t>
  </si>
  <si>
    <t>Total Operating Cost Per Unit</t>
  </si>
  <si>
    <t>Total Construction Costs &amp; Architectural Fees</t>
  </si>
  <si>
    <t>&lt;- minimum $500,000 per project</t>
  </si>
  <si>
    <t>% of Units with PBRA</t>
  </si>
  <si>
    <t>PSH + HTF Per Unit</t>
  </si>
  <si>
    <t>Is this a Rural or Urban Project?</t>
  </si>
  <si>
    <t>Rural</t>
  </si>
  <si>
    <r>
      <t xml:space="preserve">Affordable Rental Housing Projects requesting </t>
    </r>
    <r>
      <rPr>
        <b/>
        <sz val="11"/>
        <color theme="1"/>
        <rFont val="Calibri"/>
        <family val="2"/>
        <scheme val="minor"/>
      </rPr>
      <t>LIFT</t>
    </r>
    <r>
      <rPr>
        <sz val="11"/>
        <color theme="1"/>
        <rFont val="Calibri"/>
        <family val="2"/>
        <scheme val="minor"/>
      </rPr>
      <t xml:space="preserve"> funds</t>
    </r>
  </si>
  <si>
    <r>
      <t xml:space="preserve">Affordable Rental Housing Projects requesting </t>
    </r>
    <r>
      <rPr>
        <b/>
        <sz val="11"/>
        <color theme="1"/>
        <rFont val="Calibri"/>
        <family val="2"/>
        <scheme val="minor"/>
      </rPr>
      <t>9% LIHTC</t>
    </r>
  </si>
  <si>
    <r>
      <t xml:space="preserve">Affordable Rental Housing Projects requesting </t>
    </r>
    <r>
      <rPr>
        <b/>
        <sz val="11"/>
        <color theme="1"/>
        <rFont val="Calibri"/>
        <family val="2"/>
        <scheme val="minor"/>
      </rPr>
      <t>HOME</t>
    </r>
    <r>
      <rPr>
        <sz val="11"/>
        <color theme="1"/>
        <rFont val="Calibri"/>
        <family val="2"/>
        <scheme val="minor"/>
      </rPr>
      <t xml:space="preserve"> funds</t>
    </r>
  </si>
  <si>
    <r>
      <t xml:space="preserve">Affordable Rental Housing Projects requesting </t>
    </r>
    <r>
      <rPr>
        <b/>
        <sz val="11"/>
        <color theme="1"/>
        <rFont val="Calibri"/>
        <family val="2"/>
        <scheme val="minor"/>
      </rPr>
      <t>PSH</t>
    </r>
    <r>
      <rPr>
        <sz val="11"/>
        <color theme="1"/>
        <rFont val="Calibri"/>
        <family val="2"/>
        <scheme val="minor"/>
      </rPr>
      <t xml:space="preserve"> funds</t>
    </r>
  </si>
  <si>
    <t>AWHTC Only</t>
  </si>
  <si>
    <t>NOFA  #2021-1 AW On-Farm</t>
  </si>
  <si>
    <t>NOFA #2021-2 LIFT Rental</t>
  </si>
  <si>
    <t>NOFA #2021-3 LIFT HO</t>
  </si>
  <si>
    <t>NOFA #2021-4 9% LIHTC</t>
  </si>
  <si>
    <t>NOFA #2021-5 HOME</t>
  </si>
  <si>
    <t>NOFA #2021-6 PSH</t>
  </si>
  <si>
    <t>NOFA #2020-1 AWHTC</t>
  </si>
  <si>
    <t>NOFA #2020-2 LIFT Rental</t>
  </si>
  <si>
    <t>NOFA #2020-3 LIFT HO</t>
  </si>
  <si>
    <t>NOFA #2020-4 9% LIHTC</t>
  </si>
  <si>
    <t>NOFA #2020-5 HOME</t>
  </si>
  <si>
    <t>NOFA #2020-6 4% Gap Preservation</t>
  </si>
  <si>
    <t>NOFA #2020-7 PSH</t>
  </si>
  <si>
    <t>NOFA #2020-8 Manf Home Park Pres</t>
  </si>
  <si>
    <t>NOFA #2020-9 GHAP</t>
  </si>
  <si>
    <t>NOFA #2019-4 Small/Large w/VGHAP</t>
  </si>
  <si>
    <t>NOFA #5002 9% LIHTC/HOME/HTF</t>
  </si>
  <si>
    <t>NOFA #5003 HOME/HTF</t>
  </si>
  <si>
    <t>NOFA #5004 Manf Home Park Pres</t>
  </si>
  <si>
    <t>NOFA #5043 Portfolio Pres</t>
  </si>
  <si>
    <t>NOFA #2018-1 Gap for 4% LIHTC</t>
  </si>
  <si>
    <t>NOFA #4609 HOME &amp; 9% LIHTC</t>
  </si>
  <si>
    <t>NOFA #4610 HOME</t>
  </si>
  <si>
    <t>NOFA #4611 Manf Home Park Pres</t>
  </si>
  <si>
    <t>NOFA #4612 LIFT</t>
  </si>
  <si>
    <t>NOFA #5000 LIFT HO</t>
  </si>
  <si>
    <t>NOFA #5001 LIFT Rental</t>
  </si>
  <si>
    <t>NOFA #5006 LBB Pres</t>
  </si>
  <si>
    <t>NOFA #4474 MHHF Rental</t>
  </si>
  <si>
    <t>NOFA #4475 MHHF Crisis Respite</t>
  </si>
  <si>
    <t>NOFA #4514 VGHAP</t>
  </si>
  <si>
    <t>NOFA #2016-1 LBB/HPF Gap 4%</t>
  </si>
  <si>
    <t>NOFA #4390 9% LIHTC</t>
  </si>
  <si>
    <t>NOFA #4391 HOME</t>
  </si>
  <si>
    <t>NOFA #4392 MHHF</t>
  </si>
  <si>
    <t>NOFA #4428 LIFT</t>
  </si>
  <si>
    <t>NOFA #4431 Manf Home Park Pres</t>
  </si>
  <si>
    <t>NOFA #4160 9% LIHTC</t>
  </si>
  <si>
    <t>NOFA #4161 HOME</t>
  </si>
  <si>
    <t>NOFA #4190 - VGHAP</t>
  </si>
  <si>
    <t>20% AMI</t>
  </si>
  <si>
    <t>70% AMI</t>
  </si>
  <si>
    <t>80% AMI</t>
  </si>
  <si>
    <t>AM Special Activity</t>
  </si>
  <si>
    <t>Applicant</t>
  </si>
  <si>
    <t>Compliance Contact</t>
  </si>
  <si>
    <t>Partner</t>
  </si>
  <si>
    <t>Portfolio / Asset Manager - External</t>
  </si>
  <si>
    <t>Project Manager</t>
  </si>
  <si>
    <t>PSH Services Provider</t>
  </si>
  <si>
    <t>Resident Service Provider</t>
  </si>
  <si>
    <t>Sponsor</t>
  </si>
  <si>
    <t>State Code</t>
  </si>
  <si>
    <t>NOFA 2021-2</t>
  </si>
  <si>
    <t>NOFA 2021-4</t>
  </si>
  <si>
    <t>Construction Costs per Unit</t>
  </si>
  <si>
    <t>Preservation Expiration Date</t>
  </si>
  <si>
    <t>NOFA 2021-5</t>
  </si>
  <si>
    <t>Preservation Expiration date</t>
  </si>
  <si>
    <t>NOFA 2021-6</t>
  </si>
  <si>
    <t>Rural vs. Urban</t>
  </si>
  <si>
    <t>First PSH Institute?</t>
  </si>
  <si>
    <t>PSH Institute?</t>
  </si>
  <si>
    <t>In Sheet</t>
  </si>
  <si>
    <t>Yes</t>
  </si>
  <si>
    <t>80% AMI (or Manager Units)</t>
  </si>
  <si>
    <t>OHCS Portfolio Expiration</t>
  </si>
  <si>
    <t>Rental Subsidy Expiration</t>
  </si>
  <si>
    <t>New Construction</t>
  </si>
  <si>
    <t>Acq/Rehab</t>
  </si>
  <si>
    <t>N/A</t>
  </si>
  <si>
    <t>36 Months or Less</t>
  </si>
  <si>
    <t>37-60 Months</t>
  </si>
  <si>
    <t>60+ Months</t>
  </si>
  <si>
    <r>
      <t xml:space="preserve">Pre-application and Site Review Checklist must be submitted using the following document naming convention: "[Document Name]-NOFA #2021-4-[Project Name]". The pre-application MAY NOT be submitted in Adobe PDF format, but should be kept in its original Excel format. Any version of the pre-application other than the official version will not be considered and the applicant might not be notified before the deadline for submission. Pre-applications must be submitted to OHCS by the posted deadline via email to the following email address: </t>
    </r>
    <r>
      <rPr>
        <b/>
        <sz val="11"/>
        <color theme="1"/>
        <rFont val="Calibri"/>
        <family val="2"/>
        <scheme val="minor"/>
      </rPr>
      <t xml:space="preserve">MFNOFA@oregon.gov </t>
    </r>
    <r>
      <rPr>
        <sz val="11"/>
        <color theme="1"/>
        <rFont val="Calibri"/>
        <family val="2"/>
        <scheme val="minor"/>
      </rPr>
      <t xml:space="preserve">
The submission of this pre-application along with a Site Review Checklist is new to OHCS's NOFA process. It is now a two step process and this pre-application along with the Site Review Checklist MUST be submitted in order to access the full application:
Process:
1.       Download the pre-application and Site Review Checklist from the OHCS website, here: https://www.oregon.gov/ohcs/development/Pages/notice-of-funds-availability.aspx
2.       Submit the completed pre-application and Site Review Checklist to </t>
    </r>
    <r>
      <rPr>
        <b/>
        <sz val="11"/>
        <color theme="1"/>
        <rFont val="Calibri"/>
        <family val="2"/>
        <scheme val="minor"/>
      </rPr>
      <t>MFNOFA@oregon.gov</t>
    </r>
    <r>
      <rPr>
        <sz val="11"/>
        <color theme="1"/>
        <rFont val="Calibri"/>
        <family val="2"/>
        <scheme val="minor"/>
      </rPr>
      <t xml:space="preserve"> . This action will alert OHCS staff to generate Procorem access credentials for your project. This step must be completed no later than </t>
    </r>
    <r>
      <rPr>
        <b/>
        <sz val="11"/>
        <color theme="1"/>
        <rFont val="Calibri"/>
        <family val="2"/>
        <scheme val="minor"/>
      </rPr>
      <t>midnight, March 11, 2021</t>
    </r>
    <r>
      <rPr>
        <sz val="11"/>
        <color theme="1"/>
        <rFont val="Calibri"/>
        <family val="2"/>
        <scheme val="minor"/>
      </rPr>
      <t xml:space="preserve">.
3.       OHCS staff will strive to get the applicant their Procorem Workcenter credentials within </t>
    </r>
    <r>
      <rPr>
        <b/>
        <sz val="11"/>
        <color theme="1"/>
        <rFont val="Calibri"/>
        <family val="2"/>
        <scheme val="minor"/>
      </rPr>
      <t>three (3) business days</t>
    </r>
    <r>
      <rPr>
        <sz val="11"/>
        <color theme="1"/>
        <rFont val="Calibri"/>
        <family val="2"/>
        <scheme val="minor"/>
      </rPr>
      <t xml:space="preserve">. However, processing times may take longer due to volume of requests received or any unforeseen circumstances. In either instance the applicant will receive a notice that their pre-applications have been received. Once the Procorem Workcenter credentials are issued follow the instructions on the email received or you may go to the Procorem login page: https://app.procorem.com/login  to access the full application and supporting documents in your Workcenter.
Please note: applications can only be submitted electronically through Procorem. Hard copies, faxes, and electronic copies not submitted through Procorem will be automatically rejected and will not be reviewed or considered for funding.
</t>
    </r>
    <r>
      <rPr>
        <b/>
        <u/>
        <sz val="11"/>
        <color theme="1"/>
        <rFont val="Calibri"/>
        <family val="2"/>
        <scheme val="minor"/>
      </rPr>
      <t>NOFA Questions</t>
    </r>
    <r>
      <rPr>
        <sz val="11"/>
        <color theme="1"/>
        <rFont val="Calibri"/>
        <family val="2"/>
        <scheme val="minor"/>
      </rPr>
      <t xml:space="preserve">
Inquiries relating to the NOFA process, its administration, or the substantive technical portions of the NOFA should be directed to:  </t>
    </r>
    <r>
      <rPr>
        <b/>
        <sz val="11"/>
        <color theme="1"/>
        <rFont val="Calibri"/>
        <family val="2"/>
        <scheme val="minor"/>
      </rPr>
      <t>MFNOFA@oregon.gov</t>
    </r>
    <r>
      <rPr>
        <sz val="11"/>
        <color theme="1"/>
        <rFont val="Calibri"/>
        <family val="2"/>
        <scheme val="minor"/>
      </rPr>
      <t xml:space="preserve">
</t>
    </r>
  </si>
  <si>
    <r>
      <t xml:space="preserve">• This application requires Excel 2013 or newer. 
• The document is best viewed at 80% zoom; YOU MAY NEED TO SCROLL RIGHT to enter all information.  
• All applicants must complete the PROJECT INPUT and DEVELOPMENT TEAM tabs.
• In addition to the two required tabs (Project Input and Development Team) applicants should also complete ONLY the tab related to the NOFA that you are applying for.
• If the field is not valid and not required, please DO NOT enter any information. Leave the field blank. Entering placeholders (i.e. N/A, none, 0, x) will cause issues with your pre-application.
• Do not attempt to modify this workbook or override formulas. OHCS will consider any application that has attempted to be or succeeded in being modified as non-responsive. Any application found to be non-responsive will not be considered for funding. 
</t>
    </r>
    <r>
      <rPr>
        <u/>
        <sz val="11"/>
        <color theme="1"/>
        <rFont val="Calibri"/>
        <family val="2"/>
        <scheme val="minor"/>
      </rPr>
      <t xml:space="preserve">NOTE: Provide an answer for all applicable sections. If a question does not apply to your project, leave field blank.
</t>
    </r>
    <r>
      <rPr>
        <sz val="11"/>
        <color theme="1"/>
        <rFont val="Calibri"/>
        <family val="2"/>
        <scheme val="minor"/>
      </rPr>
      <t xml:space="preserve">Use the following color-code to determine your response type: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</si>
</sst>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_);\(0\)"/>
    <numFmt numFmtId="165" formatCode="0.000000"/>
    <numFmt numFmtId="166" formatCode="[&lt;=9999999]###\-####;\(###\)\ ###\-####"/>
    <numFmt numFmtId="167" formatCode="&quot;$&quot;#,##0"/>
    <numFmt numFmtId="168" formatCode="_([$$-409]* #,##0_);_([$$-409]* \(#,##0\);_([$$-409]* &quot;-&quot;??_);_(@_)"/>
    <numFmt numFmtId="169" formatCode="_(&quot;$&quot;* #,##0_);_(&quot;$&quot;* \(#,##0\);_(&quot;$&quot;*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0"/>
      <name val="Century Gothic"/>
      <family val="2"/>
    </font>
    <font>
      <sz val="11"/>
      <name val="Calibri"/>
      <family val="2"/>
      <scheme val="minor"/>
    </font>
    <font>
      <b/>
      <sz val="12"/>
      <color theme="4"/>
      <name val="Century Gothic"/>
      <family val="2"/>
    </font>
    <font>
      <b/>
      <sz val="12"/>
      <color theme="1"/>
      <name val="Calibri"/>
      <family val="2"/>
      <scheme val="minor"/>
    </font>
    <font>
      <b/>
      <sz val="14"/>
      <color theme="5"/>
      <name val="Century Gothic"/>
      <family val="2"/>
    </font>
    <font>
      <u/>
      <sz val="10"/>
      <color indexed="12"/>
      <name val="Arial"/>
      <family val="2"/>
    </font>
    <font>
      <b/>
      <i/>
      <sz val="11"/>
      <color rgb="FFC00000"/>
      <name val="Calibri"/>
      <family val="2"/>
      <scheme val="minor"/>
    </font>
    <font>
      <u/>
      <sz val="11"/>
      <color theme="10"/>
      <name val="Calibri"/>
      <family val="2"/>
      <scheme val="minor"/>
    </font>
    <font>
      <sz val="11"/>
      <color theme="3"/>
      <name val="Calibri"/>
      <family val="2"/>
      <scheme val="minor"/>
    </font>
    <font>
      <b/>
      <sz val="11"/>
      <color rgb="FFC00000"/>
      <name val="Calibri"/>
      <family val="2"/>
      <scheme val="minor"/>
    </font>
    <font>
      <b/>
      <u/>
      <sz val="11"/>
      <color theme="1"/>
      <name val="Calibri"/>
      <family val="2"/>
      <scheme val="minor"/>
    </font>
    <font>
      <b/>
      <sz val="9"/>
      <color indexed="81"/>
      <name val="Tahoma"/>
      <family val="2"/>
    </font>
    <font>
      <b/>
      <sz val="12"/>
      <color theme="4"/>
      <name val="Calibri"/>
      <family val="2"/>
      <scheme val="minor"/>
    </font>
    <font>
      <b/>
      <sz val="12"/>
      <name val="Century Gothic"/>
      <family val="2"/>
    </font>
    <font>
      <b/>
      <sz val="11"/>
      <name val="Calibri"/>
      <family val="2"/>
      <scheme val="minor"/>
    </font>
    <font>
      <sz val="11"/>
      <color rgb="FFFF0000"/>
      <name val="Calibri"/>
      <family val="2"/>
      <scheme val="minor"/>
    </font>
    <font>
      <b/>
      <sz val="11"/>
      <color rgb="FFFF0000"/>
      <name val="Calibri"/>
      <family val="2"/>
      <scheme val="minor"/>
    </font>
    <font>
      <sz val="10"/>
      <name val="Arial"/>
      <family val="2"/>
    </font>
    <font>
      <sz val="9"/>
      <color theme="1"/>
      <name val="Calibri"/>
      <family val="2"/>
      <scheme val="minor"/>
    </font>
    <font>
      <sz val="14"/>
      <color theme="1"/>
      <name val="Calibri"/>
      <family val="2"/>
      <scheme val="minor"/>
    </font>
    <font>
      <b/>
      <sz val="14"/>
      <color theme="0" tint="-0.14999847407452621"/>
      <name val="Century Gothic"/>
      <family val="2"/>
    </font>
    <font>
      <u/>
      <sz val="11"/>
      <color indexed="12"/>
      <name val="Arial"/>
      <family val="2"/>
    </font>
    <font>
      <b/>
      <sz val="14"/>
      <color theme="1"/>
      <name val="Calibri"/>
      <family val="2"/>
      <scheme val="minor"/>
    </font>
    <font>
      <b/>
      <sz val="14"/>
      <color theme="4"/>
      <name val="Century Gothic"/>
      <family val="2"/>
    </font>
    <font>
      <sz val="10"/>
      <color theme="1"/>
      <name val="Arial"/>
      <family val="2"/>
    </font>
    <font>
      <sz val="11"/>
      <color theme="1"/>
      <name val="Agency FB"/>
      <family val="2"/>
    </font>
    <font>
      <b/>
      <sz val="11"/>
      <color rgb="FFFA7D00"/>
      <name val="Agency FB"/>
      <family val="2"/>
    </font>
    <font>
      <sz val="11"/>
      <color rgb="FF3F3F76"/>
      <name val="Agency FB"/>
      <family val="2"/>
    </font>
    <font>
      <sz val="10"/>
      <name val="Calibri"/>
      <family val="1"/>
      <scheme val="minor"/>
    </font>
    <font>
      <sz val="10"/>
      <name val="MS Sans Serif"/>
      <family val="2"/>
    </font>
    <font>
      <b/>
      <sz val="12"/>
      <name val="Arial"/>
      <family val="2"/>
    </font>
    <font>
      <b/>
      <sz val="18"/>
      <name val="Arial"/>
      <family val="2"/>
    </font>
    <font>
      <u/>
      <sz val="11"/>
      <color theme="1"/>
      <name val="Calibri"/>
      <family val="2"/>
      <scheme val="minor"/>
    </font>
    <font>
      <u/>
      <sz val="10"/>
      <color indexed="39"/>
      <name val="Arial"/>
      <family val="2"/>
    </font>
    <font>
      <sz val="10"/>
      <color indexed="8"/>
      <name val="Arial"/>
      <family val="2"/>
    </font>
    <font>
      <b/>
      <sz val="14"/>
      <name val="Century Gothic"/>
      <family val="2"/>
    </font>
    <font>
      <u/>
      <sz val="11"/>
      <color indexed="12"/>
      <name val="Calibri"/>
      <family val="2"/>
      <scheme val="minor"/>
    </font>
    <font>
      <i/>
      <sz val="11"/>
      <color theme="3"/>
      <name val="Calibri"/>
      <family val="2"/>
      <scheme val="minor"/>
    </font>
    <font>
      <sz val="12"/>
      <color rgb="FF403F41"/>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7" tint="-0.249977111117893"/>
        <bgColor indexed="64"/>
      </patternFill>
    </fill>
    <fill>
      <patternFill patternType="solid">
        <fgColor theme="9" tint="-9.9978637043366805E-2"/>
        <bgColor indexed="64"/>
      </patternFill>
    </fill>
    <fill>
      <patternFill patternType="solid">
        <fgColor theme="2"/>
        <bgColor indexed="64"/>
      </patternFill>
    </fill>
    <fill>
      <patternFill patternType="solid">
        <fgColor theme="9" tint="-0.499984740745262"/>
        <bgColor indexed="64"/>
      </patternFill>
    </fill>
    <fill>
      <patternFill patternType="solid">
        <fgColor rgb="FF24B6CA"/>
        <bgColor indexed="64"/>
      </patternFill>
    </fill>
    <fill>
      <patternFill patternType="solid">
        <fgColor rgb="FFCFD6DF"/>
        <bgColor indexed="64"/>
      </patternFill>
    </fill>
    <fill>
      <patternFill patternType="solid">
        <fgColor theme="5"/>
      </patternFill>
    </fill>
    <fill>
      <patternFill patternType="solid">
        <fgColor theme="8" tint="0.79998168889431442"/>
        <bgColor indexed="65"/>
      </patternFill>
    </fill>
    <fill>
      <patternFill patternType="solid">
        <fgColor theme="5" tint="0.59999389629810485"/>
        <bgColor indexed="65"/>
      </patternFill>
    </fill>
    <fill>
      <patternFill patternType="solid">
        <fgColor theme="4" tint="0.79998168889431442"/>
        <bgColor indexed="6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theme="5"/>
        <bgColor indexed="64"/>
      </patternFill>
    </fill>
    <fill>
      <patternFill patternType="solid">
        <fgColor rgb="FFF4FCFD"/>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auto="1"/>
      </top>
      <bottom/>
      <diagonal/>
    </border>
    <border>
      <left/>
      <right style="hair">
        <color auto="1"/>
      </right>
      <top/>
      <bottom/>
      <diagonal/>
    </border>
    <border>
      <left/>
      <right/>
      <top/>
      <bottom style="hair">
        <color auto="1"/>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right/>
      <top style="double">
        <color indexed="8"/>
      </top>
      <bottom/>
      <diagonal/>
    </border>
    <border>
      <left/>
      <right/>
      <top/>
      <bottom style="medium">
        <color indexed="64"/>
      </bottom>
      <diagonal/>
    </border>
  </borders>
  <cellStyleXfs count="55">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12" fillId="0" borderId="0" applyNumberFormat="0" applyFill="0" applyBorder="0" applyAlignment="0" applyProtection="0"/>
    <xf numFmtId="0" fontId="4" fillId="11" borderId="0" applyNumberFormat="0" applyBorder="0" applyAlignment="0" applyProtection="0"/>
    <xf numFmtId="0" fontId="1" fillId="12" borderId="0" applyNumberFormat="0" applyBorder="0" applyAlignment="0" applyProtection="0"/>
    <xf numFmtId="0" fontId="22" fillId="0" borderId="0">
      <alignment vertical="top"/>
    </xf>
    <xf numFmtId="0" fontId="1" fillId="13" borderId="0" applyNumberFormat="0" applyBorder="0" applyAlignment="0" applyProtection="0"/>
    <xf numFmtId="9" fontId="1" fillId="0" borderId="0" applyFont="0" applyFill="0" applyBorder="0" applyAlignment="0" applyProtection="0"/>
    <xf numFmtId="3" fontId="22" fillId="0" borderId="0" applyFont="0" applyFill="0" applyBorder="0" applyAlignment="0" applyProtection="0"/>
    <xf numFmtId="5" fontId="22" fillId="0" borderId="0" applyFont="0" applyFill="0" applyBorder="0" applyAlignment="0" applyProtection="0"/>
    <xf numFmtId="0" fontId="22" fillId="0" borderId="0">
      <alignment vertical="top"/>
    </xf>
    <xf numFmtId="10" fontId="22" fillId="0" borderId="0" applyFont="0" applyFill="0" applyBorder="0" applyAlignment="0" applyProtection="0"/>
    <xf numFmtId="4" fontId="22" fillId="0" borderId="0" applyFont="0" applyFill="0" applyBorder="0" applyAlignment="0" applyProtection="0"/>
    <xf numFmtId="0" fontId="30" fillId="17" borderId="0" applyNumberFormat="0" applyBorder="0" applyAlignment="0" applyProtection="0"/>
    <xf numFmtId="0" fontId="31" fillId="16" borderId="17" applyNumberFormat="0" applyAlignment="0" applyProtection="0"/>
    <xf numFmtId="44" fontId="22" fillId="0" borderId="0" applyFont="0" applyFill="0" applyBorder="0" applyAlignment="0" applyProtection="0"/>
    <xf numFmtId="0" fontId="22" fillId="0" borderId="0" applyFont="0" applyFill="0" applyBorder="0" applyAlignment="0" applyProtection="0"/>
    <xf numFmtId="2" fontId="22" fillId="0" borderId="0" applyFont="0" applyFill="0" applyBorder="0" applyAlignment="0" applyProtection="0"/>
    <xf numFmtId="0" fontId="32" fillId="15" borderId="17" applyNumberFormat="0" applyAlignment="0" applyProtection="0"/>
    <xf numFmtId="0" fontId="33" fillId="0" borderId="0"/>
    <xf numFmtId="0" fontId="22" fillId="0" borderId="0">
      <alignment vertical="top"/>
    </xf>
    <xf numFmtId="0" fontId="34" fillId="0" borderId="0"/>
    <xf numFmtId="0" fontId="1" fillId="0" borderId="0"/>
    <xf numFmtId="0" fontId="22" fillId="0" borderId="0"/>
    <xf numFmtId="9" fontId="22" fillId="0" borderId="0" applyFont="0" applyFill="0" applyBorder="0" applyAlignment="0" applyProtection="0"/>
    <xf numFmtId="43"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22" fillId="0" borderId="0"/>
    <xf numFmtId="0" fontId="22" fillId="0" borderId="0"/>
    <xf numFmtId="0" fontId="22" fillId="0" borderId="18" applyNumberFormat="0" applyFont="0" applyFill="0" applyAlignment="0" applyProtection="0"/>
    <xf numFmtId="0" fontId="38" fillId="0" borderId="0" applyNumberFormat="0" applyFill="0" applyBorder="0" applyAlignment="0" applyProtection="0">
      <alignment vertical="top"/>
      <protection locked="0"/>
    </xf>
    <xf numFmtId="0" fontId="22" fillId="0" borderId="0"/>
    <xf numFmtId="0" fontId="1" fillId="0" borderId="0"/>
    <xf numFmtId="0" fontId="29" fillId="0" borderId="0"/>
    <xf numFmtId="43" fontId="29" fillId="0" borderId="0" applyFont="0" applyFill="0" applyBorder="0" applyAlignment="0" applyProtection="0"/>
    <xf numFmtId="9" fontId="29" fillId="0" borderId="0" applyFont="0" applyFill="0" applyBorder="0" applyAlignment="0" applyProtection="0"/>
    <xf numFmtId="0" fontId="29" fillId="0" borderId="0"/>
    <xf numFmtId="9"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0" fontId="29" fillId="0" borderId="0"/>
    <xf numFmtId="9" fontId="29"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9" fontId="22" fillId="0" borderId="0" applyFont="0" applyFill="0" applyBorder="0" applyAlignment="0" applyProtection="0"/>
    <xf numFmtId="0" fontId="22" fillId="0" borderId="0"/>
    <xf numFmtId="0" fontId="1" fillId="0" borderId="0"/>
    <xf numFmtId="0" fontId="39" fillId="0" borderId="0"/>
  </cellStyleXfs>
  <cellXfs count="302">
    <xf numFmtId="0" fontId="0" fillId="0" borderId="0" xfId="0"/>
    <xf numFmtId="0" fontId="9" fillId="2" borderId="0" xfId="0" applyFont="1" applyFill="1"/>
    <xf numFmtId="0" fontId="10" fillId="2" borderId="0" xfId="3" applyFill="1" applyAlignment="1" applyProtection="1"/>
    <xf numFmtId="0" fontId="0" fillId="2" borderId="0" xfId="0" applyFill="1" applyAlignment="1">
      <alignment horizontal="left" vertical="top" wrapText="1"/>
    </xf>
    <xf numFmtId="0" fontId="0" fillId="6" borderId="2" xfId="0" applyFill="1" applyBorder="1"/>
    <xf numFmtId="0" fontId="0" fillId="2" borderId="0" xfId="0" applyFill="1" applyProtection="1"/>
    <xf numFmtId="0" fontId="0" fillId="2" borderId="0" xfId="0" applyFill="1" applyAlignment="1" applyProtection="1">
      <alignment horizontal="left"/>
    </xf>
    <xf numFmtId="0" fontId="9" fillId="2" borderId="0" xfId="0" applyFont="1" applyFill="1" applyProtection="1"/>
    <xf numFmtId="0" fontId="17" fillId="2" borderId="0" xfId="0" applyFont="1" applyFill="1" applyProtection="1"/>
    <xf numFmtId="0" fontId="0" fillId="2" borderId="0" xfId="0" applyFill="1" applyBorder="1" applyProtection="1"/>
    <xf numFmtId="0" fontId="0" fillId="2" borderId="0" xfId="0" applyFill="1" applyAlignment="1" applyProtection="1">
      <alignment horizontal="right"/>
    </xf>
    <xf numFmtId="0" fontId="0" fillId="2" borderId="0" xfId="0" applyFill="1" applyBorder="1" applyAlignment="1" applyProtection="1">
      <alignment horizontal="left"/>
    </xf>
    <xf numFmtId="0" fontId="9" fillId="2" borderId="0" xfId="0" applyFont="1" applyFill="1" applyBorder="1" applyProtection="1"/>
    <xf numFmtId="0" fontId="17" fillId="2" borderId="0" xfId="0" applyFont="1" applyFill="1" applyBorder="1" applyProtection="1"/>
    <xf numFmtId="0" fontId="0" fillId="2" borderId="0" xfId="0" applyFill="1"/>
    <xf numFmtId="0" fontId="0" fillId="2" borderId="0" xfId="0" applyFont="1" applyFill="1"/>
    <xf numFmtId="0" fontId="0" fillId="7" borderId="2" xfId="0" applyFill="1" applyBorder="1" applyAlignment="1">
      <alignment horizontal="left" vertical="top" wrapText="1"/>
    </xf>
    <xf numFmtId="0" fontId="0" fillId="4" borderId="2" xfId="0" applyFill="1" applyBorder="1" applyAlignment="1">
      <alignment horizontal="left" vertical="top" wrapText="1"/>
    </xf>
    <xf numFmtId="0" fontId="0" fillId="3" borderId="2" xfId="0" applyFill="1" applyBorder="1"/>
    <xf numFmtId="0" fontId="0" fillId="5" borderId="2" xfId="0" applyFill="1" applyBorder="1"/>
    <xf numFmtId="0" fontId="0" fillId="8" borderId="2" xfId="0" applyFill="1" applyBorder="1"/>
    <xf numFmtId="0" fontId="0" fillId="2" borderId="0" xfId="0" applyFill="1" applyAlignment="1">
      <alignment horizontal="left" wrapText="1"/>
    </xf>
    <xf numFmtId="0" fontId="0" fillId="2" borderId="0" xfId="0" applyFont="1" applyFill="1" applyBorder="1" applyAlignment="1">
      <alignment vertical="center" wrapText="1"/>
    </xf>
    <xf numFmtId="0" fontId="0" fillId="2" borderId="0" xfId="0" applyFont="1" applyFill="1" applyBorder="1" applyAlignment="1">
      <alignment horizontal="center"/>
    </xf>
    <xf numFmtId="0" fontId="0" fillId="2" borderId="0" xfId="0" applyFont="1" applyFill="1" applyBorder="1" applyAlignment="1">
      <alignment horizontal="center" vertical="center" wrapText="1"/>
    </xf>
    <xf numFmtId="0" fontId="0" fillId="2" borderId="0" xfId="0" applyFill="1" applyBorder="1"/>
    <xf numFmtId="0" fontId="0" fillId="2" borderId="0" xfId="0" applyFill="1" applyBorder="1" applyAlignment="1">
      <alignment horizontal="right"/>
    </xf>
    <xf numFmtId="0" fontId="6" fillId="10" borderId="3" xfId="0" applyFont="1" applyFill="1" applyBorder="1"/>
    <xf numFmtId="0" fontId="5" fillId="9" borderId="0" xfId="0" applyFont="1" applyFill="1" applyBorder="1" applyAlignment="1">
      <alignment vertical="center"/>
    </xf>
    <xf numFmtId="0" fontId="5" fillId="9" borderId="0" xfId="0" applyFont="1" applyFill="1" applyBorder="1" applyAlignment="1">
      <alignment horizontal="right" vertical="center"/>
    </xf>
    <xf numFmtId="0" fontId="6" fillId="9" borderId="0" xfId="0" applyFont="1" applyFill="1" applyBorder="1" applyAlignment="1">
      <alignment vertical="center"/>
    </xf>
    <xf numFmtId="0" fontId="0" fillId="2" borderId="0" xfId="0" applyFill="1"/>
    <xf numFmtId="0" fontId="0" fillId="2" borderId="0" xfId="0" applyFill="1" applyBorder="1" applyAlignment="1" applyProtection="1">
      <alignment horizont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xf numFmtId="0" fontId="0" fillId="0" borderId="10" xfId="0" applyBorder="1"/>
    <xf numFmtId="0" fontId="0" fillId="0" borderId="0" xfId="0" applyAlignment="1">
      <alignment horizontal="center"/>
    </xf>
    <xf numFmtId="0" fontId="22" fillId="0" borderId="0" xfId="7" applyAlignment="1"/>
    <xf numFmtId="0" fontId="0" fillId="0" borderId="7" xfId="0" applyBorder="1"/>
    <xf numFmtId="0" fontId="0" fillId="0" borderId="7" xfId="0" quotePrefix="1" applyFill="1" applyBorder="1"/>
    <xf numFmtId="0" fontId="0" fillId="2" borderId="0" xfId="2" applyNumberFormat="1" applyFont="1" applyFill="1" applyBorder="1" applyAlignment="1" applyProtection="1">
      <alignment horizontal="left"/>
    </xf>
    <xf numFmtId="164" fontId="4" fillId="2" borderId="14" xfId="5" applyNumberFormat="1" applyFill="1" applyBorder="1" applyAlignment="1" applyProtection="1">
      <alignment horizontal="left"/>
    </xf>
    <xf numFmtId="0" fontId="6" fillId="10" borderId="9" xfId="0" applyFont="1" applyFill="1" applyBorder="1"/>
    <xf numFmtId="0" fontId="18" fillId="10" borderId="9" xfId="0" applyFont="1" applyFill="1" applyBorder="1"/>
    <xf numFmtId="0" fontId="18" fillId="10" borderId="9" xfId="0" applyFont="1" applyFill="1" applyBorder="1" applyAlignment="1">
      <alignment horizontal="right"/>
    </xf>
    <xf numFmtId="0" fontId="19" fillId="10" borderId="9" xfId="0" applyFont="1" applyFill="1" applyBorder="1"/>
    <xf numFmtId="0" fontId="25" fillId="9" borderId="0" xfId="0" applyFont="1" applyFill="1" applyBorder="1" applyAlignment="1">
      <alignment vertical="center"/>
    </xf>
    <xf numFmtId="0" fontId="0" fillId="3" borderId="2" xfId="2" applyNumberFormat="1" applyFont="1" applyFill="1" applyBorder="1" applyAlignment="1" applyProtection="1">
      <alignment horizontal="center"/>
    </xf>
    <xf numFmtId="49" fontId="0" fillId="0" borderId="0" xfId="0" applyNumberFormat="1"/>
    <xf numFmtId="0" fontId="0" fillId="0" borderId="0" xfId="0" applyAlignment="1">
      <alignment horizontal="right"/>
    </xf>
    <xf numFmtId="0" fontId="6" fillId="5" borderId="2" xfId="0" applyFont="1" applyFill="1" applyBorder="1" applyAlignment="1" applyProtection="1">
      <alignment horizontal="left" vertical="center"/>
      <protection locked="0"/>
    </xf>
    <xf numFmtId="0" fontId="6" fillId="3" borderId="2" xfId="1" applyNumberFormat="1" applyFont="1" applyFill="1" applyBorder="1" applyAlignment="1" applyProtection="1">
      <alignment horizontal="left"/>
      <protection locked="0"/>
    </xf>
    <xf numFmtId="0" fontId="26" fillId="2" borderId="0" xfId="3" applyFont="1" applyFill="1" applyAlignment="1" applyProtection="1"/>
    <xf numFmtId="1" fontId="6" fillId="3" borderId="2" xfId="2"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center"/>
      <protection locked="0"/>
    </xf>
    <xf numFmtId="44" fontId="6" fillId="3" borderId="2" xfId="2" applyNumberFormat="1" applyFont="1" applyFill="1" applyBorder="1" applyAlignment="1" applyProtection="1">
      <alignment horizontal="left"/>
      <protection locked="0"/>
    </xf>
    <xf numFmtId="42" fontId="6" fillId="3" borderId="2" xfId="2" applyNumberFormat="1" applyFont="1" applyFill="1" applyBorder="1" applyAlignment="1" applyProtection="1">
      <alignment horizontal="left"/>
      <protection locked="0"/>
    </xf>
    <xf numFmtId="0" fontId="6" fillId="0" borderId="0" xfId="0" applyFont="1" applyFill="1" applyBorder="1"/>
    <xf numFmtId="0" fontId="6" fillId="0" borderId="0" xfId="0" applyFont="1" applyFill="1" applyBorder="1" applyAlignment="1">
      <alignment horizontal="left"/>
    </xf>
    <xf numFmtId="49" fontId="6" fillId="0" borderId="0" xfId="0" applyNumberFormat="1" applyFont="1" applyFill="1" applyBorder="1"/>
    <xf numFmtId="0" fontId="6" fillId="0" borderId="0" xfId="0" applyFont="1" applyFill="1" applyBorder="1" applyProtection="1"/>
    <xf numFmtId="0" fontId="19" fillId="0" borderId="16" xfId="0" applyFont="1" applyFill="1" applyBorder="1"/>
    <xf numFmtId="49" fontId="6" fillId="0" borderId="0" xfId="0" applyNumberFormat="1" applyFont="1" applyFill="1" applyBorder="1" applyAlignment="1">
      <alignment horizontal="right"/>
    </xf>
    <xf numFmtId="0" fontId="0" fillId="2" borderId="0" xfId="0" applyFont="1" applyFill="1" applyBorder="1" applyAlignment="1">
      <alignment vertical="top" wrapText="1"/>
    </xf>
    <xf numFmtId="0" fontId="0" fillId="2" borderId="0" xfId="0" applyFill="1" applyAlignment="1" applyProtection="1">
      <alignment horizontal="left" vertical="top" wrapText="1"/>
    </xf>
    <xf numFmtId="0" fontId="2" fillId="2" borderId="0" xfId="0" applyFont="1" applyFill="1" applyBorder="1" applyAlignment="1" applyProtection="1">
      <alignment horizontal="center"/>
    </xf>
    <xf numFmtId="9" fontId="6" fillId="5" borderId="2" xfId="2" applyNumberFormat="1" applyFont="1" applyFill="1" applyBorder="1" applyAlignment="1" applyProtection="1">
      <alignment horizontal="left"/>
      <protection locked="0"/>
    </xf>
    <xf numFmtId="0" fontId="6" fillId="3" borderId="2" xfId="2" applyNumberFormat="1" applyFont="1" applyFill="1" applyBorder="1" applyAlignment="1" applyProtection="1">
      <alignment horizontal="left"/>
      <protection locked="0"/>
    </xf>
    <xf numFmtId="0" fontId="6" fillId="5" borderId="2" xfId="2" applyNumberFormat="1" applyFont="1" applyFill="1" applyBorder="1" applyAlignment="1" applyProtection="1">
      <alignment horizontal="left"/>
      <protection locked="0"/>
    </xf>
    <xf numFmtId="0" fontId="6" fillId="3" borderId="2" xfId="2" applyNumberFormat="1" applyFont="1" applyFill="1" applyBorder="1" applyAlignment="1" applyProtection="1">
      <alignment horizontal="center"/>
    </xf>
    <xf numFmtId="0" fontId="6" fillId="5" borderId="2" xfId="0" applyFont="1" applyFill="1" applyBorder="1" applyAlignment="1" applyProtection="1">
      <alignment horizontal="center" vertical="center"/>
      <protection locked="0"/>
    </xf>
    <xf numFmtId="166" fontId="6" fillId="3" borderId="2" xfId="2" applyNumberFormat="1" applyFont="1" applyFill="1" applyBorder="1" applyAlignment="1" applyProtection="1">
      <alignment horizontal="left"/>
      <protection locked="0"/>
    </xf>
    <xf numFmtId="0" fontId="6" fillId="5" borderId="5" xfId="2" applyNumberFormat="1" applyFont="1" applyFill="1" applyBorder="1" applyAlignment="1" applyProtection="1">
      <alignment horizontal="left"/>
      <protection locked="0"/>
    </xf>
    <xf numFmtId="0" fontId="6" fillId="2" borderId="0" xfId="0" applyFont="1" applyFill="1" applyAlignment="1" applyProtection="1">
      <alignment horizontal="left"/>
    </xf>
    <xf numFmtId="168" fontId="6" fillId="3" borderId="2" xfId="2" applyNumberFormat="1" applyFont="1" applyFill="1" applyBorder="1" applyAlignment="1" applyProtection="1">
      <alignment horizontal="left"/>
      <protection locked="0"/>
    </xf>
    <xf numFmtId="0" fontId="0" fillId="2" borderId="0" xfId="0" applyFill="1" applyAlignment="1">
      <alignment horizontal="left" vertical="top" wrapText="1"/>
    </xf>
    <xf numFmtId="0" fontId="0" fillId="2" borderId="0" xfId="0" applyFill="1" applyAlignment="1" applyProtection="1">
      <alignment horizontal="left" vertical="top" wrapText="1"/>
    </xf>
    <xf numFmtId="1" fontId="6" fillId="3" borderId="2" xfId="2" applyNumberFormat="1" applyFont="1" applyFill="1" applyBorder="1" applyAlignment="1" applyProtection="1">
      <alignment horizontal="right"/>
      <protection locked="0"/>
    </xf>
    <xf numFmtId="0" fontId="6" fillId="2" borderId="2" xfId="0" applyFont="1" applyFill="1" applyBorder="1" applyAlignment="1" applyProtection="1">
      <alignment horizontal="left"/>
      <protection locked="0"/>
    </xf>
    <xf numFmtId="0" fontId="0" fillId="2" borderId="0" xfId="0" applyFill="1" applyBorder="1" applyAlignment="1" applyProtection="1">
      <alignment horizontal="right"/>
    </xf>
    <xf numFmtId="0" fontId="5" fillId="9" borderId="0" xfId="0" applyFont="1" applyFill="1" applyBorder="1" applyAlignment="1" applyProtection="1">
      <alignment vertical="center"/>
    </xf>
    <xf numFmtId="0" fontId="5" fillId="9" borderId="0" xfId="0" applyFont="1" applyFill="1" applyBorder="1" applyAlignment="1" applyProtection="1">
      <alignment horizontal="right" vertical="center"/>
    </xf>
    <xf numFmtId="0" fontId="6" fillId="9" borderId="0" xfId="0" applyFont="1" applyFill="1" applyBorder="1" applyAlignment="1" applyProtection="1">
      <alignment vertical="center"/>
    </xf>
    <xf numFmtId="0" fontId="6" fillId="10" borderId="3" xfId="0" applyFont="1" applyFill="1" applyBorder="1" applyProtection="1"/>
    <xf numFmtId="0" fontId="6" fillId="2" borderId="0" xfId="0" applyFont="1" applyFill="1" applyBorder="1" applyProtection="1"/>
    <xf numFmtId="0" fontId="18" fillId="2" borderId="0" xfId="0" applyFont="1" applyFill="1" applyBorder="1" applyProtection="1"/>
    <xf numFmtId="0" fontId="18" fillId="2" borderId="0" xfId="0" applyFont="1" applyFill="1" applyBorder="1" applyAlignment="1" applyProtection="1">
      <alignment horizontal="right"/>
    </xf>
    <xf numFmtId="0" fontId="19" fillId="2" borderId="0" xfId="0" applyFont="1" applyFill="1" applyBorder="1" applyProtection="1"/>
    <xf numFmtId="0" fontId="6" fillId="2" borderId="14" xfId="0" applyFont="1" applyFill="1" applyBorder="1" applyProtection="1"/>
    <xf numFmtId="0" fontId="7" fillId="2" borderId="0" xfId="0" applyFont="1" applyFill="1" applyBorder="1" applyProtection="1"/>
    <xf numFmtId="0" fontId="8" fillId="2" borderId="0" xfId="0" applyFont="1" applyFill="1" applyBorder="1" applyAlignment="1" applyProtection="1">
      <alignment horizontal="right"/>
    </xf>
    <xf numFmtId="0" fontId="0" fillId="2" borderId="14" xfId="0" applyFill="1" applyBorder="1" applyProtection="1"/>
    <xf numFmtId="0" fontId="0" fillId="13" borderId="2" xfId="8" applyFont="1" applyBorder="1" applyAlignment="1" applyProtection="1">
      <alignment horizontal="center"/>
    </xf>
    <xf numFmtId="0" fontId="3" fillId="2" borderId="0" xfId="0" applyFont="1" applyFill="1" applyBorder="1" applyProtection="1"/>
    <xf numFmtId="0" fontId="3" fillId="2" borderId="0" xfId="0" applyFont="1" applyFill="1" applyProtection="1"/>
    <xf numFmtId="9" fontId="0" fillId="2" borderId="14" xfId="2" applyNumberFormat="1" applyFont="1" applyFill="1" applyBorder="1" applyAlignment="1" applyProtection="1">
      <alignment horizontal="left"/>
    </xf>
    <xf numFmtId="0" fontId="11" fillId="2" borderId="0" xfId="0" applyFont="1" applyFill="1" applyBorder="1" applyProtection="1"/>
    <xf numFmtId="0" fontId="6" fillId="2" borderId="0" xfId="0" applyFont="1" applyFill="1" applyAlignment="1" applyProtection="1">
      <alignment horizontal="right" indent="2"/>
    </xf>
    <xf numFmtId="0" fontId="0" fillId="2" borderId="14" xfId="2" applyNumberFormat="1" applyFont="1" applyFill="1" applyBorder="1" applyAlignment="1" applyProtection="1">
      <alignment horizontal="left"/>
    </xf>
    <xf numFmtId="0" fontId="6" fillId="2" borderId="0" xfId="0" applyFont="1" applyFill="1" applyBorder="1" applyAlignment="1" applyProtection="1">
      <alignment horizontal="right" indent="2"/>
    </xf>
    <xf numFmtId="9" fontId="4" fillId="2" borderId="14" xfId="2" applyNumberFormat="1" applyFont="1" applyFill="1" applyBorder="1" applyAlignment="1" applyProtection="1">
      <alignment horizontal="left"/>
    </xf>
    <xf numFmtId="0" fontId="0" fillId="2" borderId="13" xfId="0" applyFill="1" applyBorder="1" applyProtection="1"/>
    <xf numFmtId="0" fontId="6" fillId="2" borderId="0" xfId="0" applyFont="1" applyFill="1" applyBorder="1" applyAlignment="1" applyProtection="1">
      <alignment horizontal="right"/>
    </xf>
    <xf numFmtId="0" fontId="20" fillId="2" borderId="0" xfId="0" applyFont="1" applyFill="1" applyBorder="1" applyProtection="1"/>
    <xf numFmtId="0" fontId="0" fillId="2" borderId="3" xfId="2" applyNumberFormat="1" applyFont="1" applyFill="1" applyBorder="1" applyAlignment="1" applyProtection="1">
      <alignment horizontal="left"/>
    </xf>
    <xf numFmtId="0" fontId="20" fillId="2" borderId="0" xfId="0" applyFont="1" applyFill="1" applyProtection="1"/>
    <xf numFmtId="43" fontId="0" fillId="2" borderId="0" xfId="1" applyFont="1" applyFill="1" applyBorder="1" applyAlignment="1" applyProtection="1">
      <alignment horizontal="left" wrapText="1"/>
    </xf>
    <xf numFmtId="0" fontId="4" fillId="2" borderId="14" xfId="2" applyNumberFormat="1" applyFont="1" applyFill="1" applyBorder="1" applyAlignment="1" applyProtection="1">
      <alignment horizontal="left"/>
    </xf>
    <xf numFmtId="0" fontId="23" fillId="2" borderId="0" xfId="0" applyFont="1" applyFill="1" applyProtection="1"/>
    <xf numFmtId="0" fontId="0" fillId="2" borderId="14" xfId="2" applyNumberFormat="1" applyFont="1" applyFill="1" applyBorder="1" applyAlignment="1" applyProtection="1">
      <alignment horizontal="left" wrapText="1"/>
    </xf>
    <xf numFmtId="0" fontId="12" fillId="2" borderId="0" xfId="4" applyFill="1" applyProtection="1"/>
    <xf numFmtId="165" fontId="0" fillId="2" borderId="14" xfId="2" applyNumberFormat="1" applyFont="1" applyFill="1" applyBorder="1" applyAlignment="1" applyProtection="1">
      <alignment horizontal="left"/>
    </xf>
    <xf numFmtId="0" fontId="13" fillId="2" borderId="0" xfId="0" applyFont="1" applyFill="1" applyProtection="1"/>
    <xf numFmtId="0" fontId="0" fillId="0" borderId="0" xfId="0" applyAlignment="1" applyProtection="1">
      <alignment horizontal="right" indent="2"/>
    </xf>
    <xf numFmtId="0" fontId="0" fillId="2" borderId="0" xfId="0" applyFont="1" applyFill="1" applyProtection="1"/>
    <xf numFmtId="0" fontId="0" fillId="2" borderId="0" xfId="0" applyFill="1" applyAlignment="1" applyProtection="1">
      <alignment vertical="top" wrapText="1"/>
    </xf>
    <xf numFmtId="0" fontId="0" fillId="2" borderId="0" xfId="0" applyFont="1" applyFill="1" applyAlignment="1" applyProtection="1">
      <alignment horizontal="right" indent="1"/>
    </xf>
    <xf numFmtId="0" fontId="13" fillId="2" borderId="0" xfId="0" applyFont="1" applyFill="1" applyAlignment="1" applyProtection="1">
      <alignment horizontal="left" wrapText="1"/>
    </xf>
    <xf numFmtId="0" fontId="13" fillId="2" borderId="14" xfId="0" applyFont="1" applyFill="1" applyBorder="1" applyAlignment="1" applyProtection="1">
      <alignment horizontal="left" wrapText="1"/>
    </xf>
    <xf numFmtId="0" fontId="14" fillId="2" borderId="6" xfId="0" applyFont="1" applyFill="1" applyBorder="1" applyAlignment="1" applyProtection="1">
      <alignment horizontal="left" wrapText="1"/>
    </xf>
    <xf numFmtId="0" fontId="14" fillId="2" borderId="14" xfId="0" applyFont="1" applyFill="1" applyBorder="1" applyAlignment="1" applyProtection="1">
      <alignment horizontal="left" wrapText="1"/>
    </xf>
    <xf numFmtId="0" fontId="0" fillId="2" borderId="0" xfId="0" applyFont="1" applyFill="1" applyAlignment="1" applyProtection="1">
      <alignment horizontal="left"/>
    </xf>
    <xf numFmtId="0" fontId="14" fillId="2" borderId="0" xfId="0" applyFont="1" applyFill="1" applyBorder="1" applyAlignment="1" applyProtection="1">
      <alignment horizontal="left" wrapText="1"/>
    </xf>
    <xf numFmtId="0" fontId="0" fillId="2" borderId="15" xfId="0" applyFill="1" applyBorder="1" applyProtection="1"/>
    <xf numFmtId="0" fontId="0" fillId="2" borderId="13" xfId="0" applyFont="1" applyFill="1" applyBorder="1" applyProtection="1"/>
    <xf numFmtId="49" fontId="0" fillId="2" borderId="2" xfId="0" applyNumberFormat="1" applyFill="1" applyBorder="1" applyProtection="1"/>
    <xf numFmtId="0" fontId="15" fillId="2" borderId="0" xfId="0" applyFont="1" applyFill="1" applyBorder="1" applyProtection="1"/>
    <xf numFmtId="0" fontId="0" fillId="2" borderId="0" xfId="0" applyFill="1" applyBorder="1" applyAlignment="1" applyProtection="1"/>
    <xf numFmtId="0" fontId="27" fillId="2" borderId="0" xfId="0" applyFont="1" applyFill="1" applyBorder="1" applyProtection="1"/>
    <xf numFmtId="0" fontId="0" fillId="14" borderId="2" xfId="0" applyFill="1" applyBorder="1" applyProtection="1"/>
    <xf numFmtId="0" fontId="0" fillId="2" borderId="0" xfId="0" applyFill="1" applyAlignment="1" applyProtection="1"/>
    <xf numFmtId="0" fontId="24" fillId="2" borderId="0" xfId="0" applyFont="1" applyFill="1" applyBorder="1" applyProtection="1"/>
    <xf numFmtId="0" fontId="13" fillId="2" borderId="13" xfId="0" applyFont="1" applyFill="1" applyBorder="1" applyAlignment="1" applyProtection="1">
      <alignment horizontal="left" wrapText="1"/>
    </xf>
    <xf numFmtId="0" fontId="0" fillId="2" borderId="13" xfId="2" applyNumberFormat="1" applyFont="1" applyFill="1" applyBorder="1" applyAlignment="1" applyProtection="1">
      <alignment horizontal="left"/>
    </xf>
    <xf numFmtId="0" fontId="13" fillId="2" borderId="0" xfId="0" applyFont="1" applyFill="1" applyAlignment="1" applyProtection="1">
      <alignment horizontal="left"/>
    </xf>
    <xf numFmtId="0" fontId="0" fillId="0" borderId="0" xfId="0" applyFill="1" applyAlignment="1" applyProtection="1">
      <alignment horizontal="left" vertical="top" wrapText="1"/>
    </xf>
    <xf numFmtId="0" fontId="6" fillId="10" borderId="9" xfId="0" applyFont="1" applyFill="1" applyBorder="1" applyProtection="1"/>
    <xf numFmtId="0" fontId="18" fillId="10" borderId="9" xfId="0" applyFont="1" applyFill="1" applyBorder="1" applyProtection="1"/>
    <xf numFmtId="0" fontId="18" fillId="10" borderId="9" xfId="0" applyFont="1" applyFill="1" applyBorder="1" applyAlignment="1" applyProtection="1">
      <alignment horizontal="right"/>
    </xf>
    <xf numFmtId="0" fontId="19" fillId="10" borderId="9" xfId="0" applyFont="1" applyFill="1" applyBorder="1" applyProtection="1"/>
    <xf numFmtId="0" fontId="25" fillId="9" borderId="0" xfId="0" applyFont="1" applyFill="1" applyBorder="1" applyAlignment="1" applyProtection="1">
      <alignment vertical="center"/>
    </xf>
    <xf numFmtId="166" fontId="0" fillId="2" borderId="0" xfId="2" applyNumberFormat="1" applyFont="1" applyFill="1" applyBorder="1" applyAlignment="1" applyProtection="1">
      <alignment horizontal="left"/>
    </xf>
    <xf numFmtId="0" fontId="4" fillId="2" borderId="0" xfId="2" applyNumberFormat="1" applyFont="1" applyFill="1" applyBorder="1" applyAlignment="1" applyProtection="1">
      <alignment horizontal="left"/>
    </xf>
    <xf numFmtId="0" fontId="4" fillId="2" borderId="0" xfId="0" applyFont="1" applyFill="1" applyBorder="1" applyAlignment="1" applyProtection="1">
      <alignment horizontal="left"/>
    </xf>
    <xf numFmtId="166" fontId="0" fillId="2" borderId="0" xfId="0" applyNumberFormat="1" applyFill="1" applyBorder="1" applyAlignment="1" applyProtection="1">
      <alignment horizontal="left"/>
    </xf>
    <xf numFmtId="0" fontId="28" fillId="2" borderId="0" xfId="0" applyFont="1" applyFill="1" applyBorder="1" applyProtection="1"/>
    <xf numFmtId="0" fontId="8" fillId="0" borderId="0" xfId="0" applyFont="1" applyFill="1" applyBorder="1" applyAlignment="1" applyProtection="1">
      <alignment horizontal="right"/>
    </xf>
    <xf numFmtId="14" fontId="0" fillId="0" borderId="0" xfId="2" applyNumberFormat="1" applyFont="1" applyFill="1" applyBorder="1" applyAlignment="1" applyProtection="1">
      <alignment horizontal="left"/>
    </xf>
    <xf numFmtId="9" fontId="0" fillId="2" borderId="0" xfId="2" applyNumberFormat="1" applyFont="1" applyFill="1" applyBorder="1" applyAlignment="1" applyProtection="1">
      <alignment horizontal="left"/>
    </xf>
    <xf numFmtId="0" fontId="0" fillId="0" borderId="0" xfId="0" applyFill="1" applyAlignment="1" applyProtection="1">
      <alignment vertical="top" wrapText="1"/>
    </xf>
    <xf numFmtId="9" fontId="4" fillId="2" borderId="0" xfId="2" applyNumberFormat="1" applyFont="1" applyFill="1" applyBorder="1" applyAlignment="1" applyProtection="1">
      <alignment horizontal="left"/>
    </xf>
    <xf numFmtId="0" fontId="6" fillId="2" borderId="0" xfId="0" applyFont="1" applyFill="1" applyBorder="1" applyAlignment="1" applyProtection="1">
      <alignment horizontal="right" vertical="top"/>
    </xf>
    <xf numFmtId="0" fontId="14" fillId="2" borderId="0" xfId="0" applyFont="1" applyFill="1" applyBorder="1" applyAlignment="1" applyProtection="1">
      <alignment horizontal="left"/>
    </xf>
    <xf numFmtId="0" fontId="0" fillId="7" borderId="8" xfId="0" applyFill="1" applyBorder="1" applyProtection="1"/>
    <xf numFmtId="0" fontId="3" fillId="7" borderId="9" xfId="0" applyFont="1" applyFill="1" applyBorder="1" applyProtection="1"/>
    <xf numFmtId="0" fontId="0" fillId="7" borderId="9" xfId="2" applyNumberFormat="1" applyFont="1" applyFill="1" applyBorder="1" applyAlignment="1" applyProtection="1">
      <alignment horizontal="left"/>
    </xf>
    <xf numFmtId="0" fontId="0" fillId="7" borderId="10" xfId="0" applyFill="1" applyBorder="1" applyProtection="1"/>
    <xf numFmtId="0" fontId="0" fillId="7" borderId="6" xfId="0" applyFill="1" applyBorder="1" applyProtection="1"/>
    <xf numFmtId="0" fontId="0" fillId="7" borderId="3" xfId="2" applyNumberFormat="1" applyFont="1" applyFill="1" applyBorder="1" applyAlignment="1" applyProtection="1">
      <alignment horizontal="left"/>
    </xf>
    <xf numFmtId="0" fontId="0" fillId="7" borderId="7" xfId="0" applyFill="1" applyBorder="1" applyProtection="1"/>
    <xf numFmtId="0" fontId="0" fillId="7" borderId="0" xfId="0" applyFill="1" applyBorder="1" applyProtection="1"/>
    <xf numFmtId="0" fontId="0" fillId="7" borderId="11" xfId="0" applyFill="1" applyBorder="1" applyProtection="1"/>
    <xf numFmtId="0" fontId="0" fillId="7" borderId="3" xfId="0" applyFill="1" applyBorder="1" applyProtection="1"/>
    <xf numFmtId="0" fontId="0" fillId="7" borderId="1" xfId="2" applyNumberFormat="1" applyFont="1" applyFill="1" applyBorder="1" applyAlignment="1" applyProtection="1">
      <alignment horizontal="left"/>
    </xf>
    <xf numFmtId="0" fontId="0" fillId="7" borderId="12" xfId="0" applyFill="1" applyBorder="1" applyProtection="1"/>
    <xf numFmtId="0" fontId="23" fillId="2" borderId="0" xfId="0" applyFont="1" applyFill="1" applyAlignment="1" applyProtection="1">
      <alignment horizontal="left" indent="1"/>
    </xf>
    <xf numFmtId="0" fontId="2" fillId="2" borderId="15" xfId="0" applyFont="1" applyFill="1" applyBorder="1" applyAlignment="1" applyProtection="1">
      <alignment horizontal="center"/>
    </xf>
    <xf numFmtId="0" fontId="0" fillId="0" borderId="0" xfId="2" applyNumberFormat="1" applyFont="1" applyFill="1" applyBorder="1" applyAlignment="1" applyProtection="1">
      <alignment horizontal="left"/>
    </xf>
    <xf numFmtId="0" fontId="0" fillId="2" borderId="0" xfId="0" applyFill="1" applyAlignment="1" applyProtection="1">
      <alignment horizontal="left" vertical="top"/>
    </xf>
    <xf numFmtId="9" fontId="0" fillId="2" borderId="0" xfId="2" applyNumberFormat="1" applyFont="1" applyFill="1" applyBorder="1" applyAlignment="1" applyProtection="1">
      <alignment horizontal="center" vertical="center"/>
    </xf>
    <xf numFmtId="0" fontId="19" fillId="7" borderId="2" xfId="0" applyFont="1" applyFill="1" applyBorder="1" applyProtection="1"/>
    <xf numFmtId="0" fontId="19" fillId="7" borderId="2" xfId="0" applyFont="1" applyFill="1" applyBorder="1" applyAlignment="1" applyProtection="1">
      <alignment horizontal="center"/>
    </xf>
    <xf numFmtId="0" fontId="6" fillId="7" borderId="2" xfId="0" applyFont="1" applyFill="1" applyBorder="1" applyProtection="1"/>
    <xf numFmtId="3" fontId="19" fillId="6" borderId="2" xfId="0" applyNumberFormat="1" applyFont="1" applyFill="1" applyBorder="1" applyAlignment="1" applyProtection="1">
      <alignment horizontal="center"/>
    </xf>
    <xf numFmtId="0" fontId="19" fillId="7" borderId="2" xfId="0" applyFont="1" applyFill="1" applyBorder="1" applyAlignment="1" applyProtection="1">
      <alignment horizontal="right"/>
    </xf>
    <xf numFmtId="0" fontId="2" fillId="2" borderId="0" xfId="0" applyFont="1" applyFill="1" applyBorder="1" applyAlignment="1" applyProtection="1">
      <alignment horizontal="right"/>
    </xf>
    <xf numFmtId="0" fontId="2" fillId="2" borderId="0" xfId="0" applyFont="1" applyFill="1" applyBorder="1" applyAlignment="1" applyProtection="1">
      <alignment horizontal="right" indent="2"/>
    </xf>
    <xf numFmtId="0" fontId="0" fillId="0" borderId="0" xfId="0" applyFill="1" applyProtection="1"/>
    <xf numFmtId="167" fontId="0" fillId="0" borderId="0" xfId="2" applyNumberFormat="1" applyFont="1" applyFill="1" applyBorder="1" applyAlignment="1" applyProtection="1">
      <alignment horizontal="left"/>
    </xf>
    <xf numFmtId="0" fontId="0" fillId="0" borderId="15" xfId="0" applyFill="1" applyBorder="1" applyProtection="1"/>
    <xf numFmtId="0" fontId="0" fillId="0" borderId="13" xfId="0" applyFill="1" applyBorder="1" applyProtection="1"/>
    <xf numFmtId="167" fontId="0" fillId="0" borderId="13" xfId="2" applyNumberFormat="1" applyFont="1" applyFill="1" applyBorder="1" applyAlignment="1" applyProtection="1">
      <alignment horizontal="left"/>
    </xf>
    <xf numFmtId="0" fontId="0" fillId="2" borderId="0" xfId="0" applyFill="1" applyAlignment="1" applyProtection="1">
      <alignment vertical="center"/>
    </xf>
    <xf numFmtId="0" fontId="21" fillId="2" borderId="0" xfId="0" applyFont="1" applyFill="1" applyBorder="1" applyAlignment="1" applyProtection="1">
      <alignment horizontal="right"/>
    </xf>
    <xf numFmtId="167" fontId="0" fillId="2" borderId="0" xfId="2" applyNumberFormat="1" applyFont="1" applyFill="1" applyBorder="1" applyAlignment="1" applyProtection="1">
      <alignment horizontal="left"/>
    </xf>
    <xf numFmtId="44" fontId="0" fillId="2" borderId="0" xfId="2" applyNumberFormat="1" applyFont="1" applyFill="1" applyBorder="1" applyAlignment="1" applyProtection="1">
      <alignment horizontal="left"/>
    </xf>
    <xf numFmtId="9" fontId="0" fillId="6" borderId="2" xfId="9" applyFont="1" applyFill="1" applyBorder="1" applyAlignment="1" applyProtection="1">
      <alignment horizontal="center"/>
    </xf>
    <xf numFmtId="0" fontId="0" fillId="2" borderId="15" xfId="0" applyFont="1" applyFill="1" applyBorder="1" applyProtection="1"/>
    <xf numFmtId="0" fontId="0" fillId="2" borderId="15" xfId="2" applyNumberFormat="1" applyFont="1" applyFill="1" applyBorder="1" applyAlignment="1" applyProtection="1">
      <alignment horizontal="left"/>
    </xf>
    <xf numFmtId="0" fontId="0" fillId="2" borderId="0" xfId="0" applyFont="1" applyFill="1" applyBorder="1" applyAlignment="1" applyProtection="1">
      <alignment horizontal="right"/>
    </xf>
    <xf numFmtId="164" fontId="6" fillId="18" borderId="2" xfId="2" applyNumberFormat="1" applyFont="1" applyFill="1" applyBorder="1" applyAlignment="1" applyProtection="1">
      <alignment horizontal="center"/>
      <protection locked="0"/>
    </xf>
    <xf numFmtId="169" fontId="6" fillId="3" borderId="2" xfId="2" applyNumberFormat="1" applyFont="1" applyFill="1" applyBorder="1" applyAlignment="1" applyProtection="1">
      <alignment horizontal="left"/>
      <protection locked="0"/>
    </xf>
    <xf numFmtId="0" fontId="2" fillId="2" borderId="0" xfId="0" applyFont="1" applyFill="1" applyBorder="1" applyAlignment="1" applyProtection="1">
      <alignment horizontal="center"/>
    </xf>
    <xf numFmtId="0" fontId="6" fillId="12" borderId="2" xfId="6" applyNumberFormat="1" applyFont="1" applyBorder="1" applyAlignment="1" applyProtection="1">
      <alignment horizontal="center"/>
      <protection locked="0"/>
    </xf>
    <xf numFmtId="0" fontId="6" fillId="5" borderId="2" xfId="2" quotePrefix="1" applyNumberFormat="1" applyFont="1" applyFill="1" applyBorder="1" applyAlignment="1" applyProtection="1">
      <alignment horizontal="center"/>
      <protection locked="0"/>
    </xf>
    <xf numFmtId="0" fontId="6" fillId="12" borderId="2" xfId="6" applyNumberFormat="1" applyFont="1" applyBorder="1" applyAlignment="1" applyProtection="1">
      <alignment horizontal="center" wrapText="1"/>
      <protection locked="0"/>
    </xf>
    <xf numFmtId="0" fontId="6" fillId="3" borderId="2" xfId="2" applyNumberFormat="1" applyFont="1" applyFill="1" applyBorder="1" applyAlignment="1" applyProtection="1">
      <alignment horizontal="center"/>
      <protection locked="0"/>
    </xf>
    <xf numFmtId="49" fontId="6" fillId="5" borderId="2" xfId="2" applyNumberFormat="1" applyFont="1" applyFill="1" applyBorder="1" applyAlignment="1" applyProtection="1">
      <alignment horizontal="center"/>
      <protection locked="0"/>
    </xf>
    <xf numFmtId="165" fontId="6" fillId="3" borderId="2" xfId="2" applyNumberFormat="1" applyFont="1" applyFill="1" applyBorder="1" applyAlignment="1" applyProtection="1">
      <alignment horizontal="center"/>
      <protection locked="0"/>
    </xf>
    <xf numFmtId="0" fontId="6" fillId="2" borderId="4" xfId="2" applyNumberFormat="1" applyFont="1" applyFill="1" applyBorder="1" applyAlignment="1" applyProtection="1">
      <alignment horizontal="center"/>
      <protection locked="0"/>
    </xf>
    <xf numFmtId="0" fontId="6" fillId="2" borderId="2" xfId="2" applyNumberFormat="1" applyFont="1" applyFill="1" applyBorder="1" applyAlignment="1" applyProtection="1">
      <alignment horizontal="center" wrapText="1"/>
      <protection locked="0"/>
    </xf>
    <xf numFmtId="0" fontId="6" fillId="2" borderId="2" xfId="2" applyNumberFormat="1" applyFont="1" applyFill="1" applyBorder="1" applyAlignment="1" applyProtection="1">
      <alignment horizontal="center"/>
      <protection locked="0"/>
    </xf>
    <xf numFmtId="165" fontId="6" fillId="2" borderId="2" xfId="2" applyNumberFormat="1" applyFont="1" applyFill="1" applyBorder="1" applyAlignment="1" applyProtection="1">
      <alignment horizontal="center"/>
      <protection locked="0"/>
    </xf>
    <xf numFmtId="14" fontId="6" fillId="6" borderId="2" xfId="2" applyNumberFormat="1" applyFont="1" applyFill="1" applyBorder="1" applyAlignment="1" applyProtection="1">
      <alignment horizontal="center"/>
    </xf>
    <xf numFmtId="164" fontId="6" fillId="6" borderId="2" xfId="5" applyNumberFormat="1" applyFont="1" applyFill="1" applyBorder="1" applyAlignment="1" applyProtection="1">
      <alignment horizontal="center"/>
    </xf>
    <xf numFmtId="0" fontId="6" fillId="2" borderId="0" xfId="0" applyFont="1" applyFill="1" applyProtection="1"/>
    <xf numFmtId="0" fontId="6" fillId="2" borderId="0" xfId="2" applyNumberFormat="1" applyFont="1" applyFill="1" applyBorder="1" applyAlignment="1" applyProtection="1">
      <alignment horizontal="left"/>
    </xf>
    <xf numFmtId="0" fontId="6" fillId="2" borderId="0" xfId="0" applyFont="1" applyFill="1" applyAlignment="1" applyProtection="1">
      <alignment horizontal="right"/>
    </xf>
    <xf numFmtId="0" fontId="6" fillId="2" borderId="1" xfId="2" applyNumberFormat="1" applyFont="1" applyFill="1" applyBorder="1" applyAlignment="1" applyProtection="1">
      <alignment horizontal="left"/>
    </xf>
    <xf numFmtId="0" fontId="6" fillId="2" borderId="0" xfId="0" applyFont="1" applyFill="1" applyBorder="1" applyAlignment="1" applyProtection="1">
      <alignment wrapText="1"/>
    </xf>
    <xf numFmtId="0" fontId="6" fillId="5" borderId="4" xfId="2" applyNumberFormat="1" applyFont="1" applyFill="1" applyBorder="1" applyAlignment="1" applyProtection="1">
      <alignment horizontal="left"/>
      <protection locked="0"/>
    </xf>
    <xf numFmtId="0" fontId="6" fillId="2" borderId="0" xfId="0" applyFont="1" applyFill="1" applyBorder="1" applyAlignment="1" applyProtection="1">
      <alignment horizontal="left"/>
    </xf>
    <xf numFmtId="0" fontId="40" fillId="2" borderId="0" xfId="0" applyFont="1" applyFill="1" applyProtection="1"/>
    <xf numFmtId="0" fontId="6" fillId="3" borderId="0" xfId="2" applyNumberFormat="1" applyFont="1" applyFill="1" applyBorder="1" applyAlignment="1" applyProtection="1">
      <alignment horizontal="left"/>
      <protection locked="0"/>
    </xf>
    <xf numFmtId="0" fontId="0" fillId="2" borderId="0" xfId="0" applyFill="1" applyAlignment="1">
      <alignment horizontal="left" vertical="top"/>
    </xf>
    <xf numFmtId="0" fontId="2" fillId="2" borderId="0" xfId="0" applyFont="1" applyFill="1" applyBorder="1" applyAlignment="1" applyProtection="1">
      <alignment horizontal="center"/>
    </xf>
    <xf numFmtId="1" fontId="6" fillId="3" borderId="2" xfId="1" applyNumberFormat="1" applyFont="1" applyFill="1" applyBorder="1" applyAlignment="1" applyProtection="1">
      <alignment horizontal="left"/>
      <protection locked="0"/>
    </xf>
    <xf numFmtId="0" fontId="19" fillId="7" borderId="2" xfId="0" applyFont="1" applyFill="1" applyBorder="1" applyAlignment="1" applyProtection="1">
      <alignment horizontal="left"/>
    </xf>
    <xf numFmtId="0" fontId="6" fillId="7" borderId="2" xfId="0" applyFont="1" applyFill="1" applyBorder="1" applyAlignment="1" applyProtection="1">
      <alignment horizontal="right"/>
    </xf>
    <xf numFmtId="0" fontId="41" fillId="2" borderId="0" xfId="3" applyFont="1" applyFill="1" applyAlignment="1" applyProtection="1">
      <alignment wrapText="1"/>
    </xf>
    <xf numFmtId="0" fontId="0" fillId="2" borderId="0" xfId="0" applyFont="1" applyFill="1" applyBorder="1" applyProtection="1"/>
    <xf numFmtId="9" fontId="6" fillId="6" borderId="2" xfId="9" applyFont="1" applyFill="1" applyBorder="1" applyAlignment="1" applyProtection="1">
      <alignment horizontal="center"/>
      <protection locked="0"/>
    </xf>
    <xf numFmtId="168" fontId="6" fillId="6" borderId="2" xfId="2" applyNumberFormat="1" applyFont="1" applyFill="1" applyBorder="1" applyAlignment="1" applyProtection="1">
      <alignment horizontal="center"/>
      <protection locked="0"/>
    </xf>
    <xf numFmtId="42" fontId="6" fillId="19" borderId="2" xfId="2" applyNumberFormat="1" applyFont="1" applyFill="1" applyBorder="1" applyAlignment="1" applyProtection="1">
      <alignment horizontal="center"/>
      <protection locked="0"/>
    </xf>
    <xf numFmtId="3" fontId="6" fillId="19" borderId="2" xfId="2" applyNumberFormat="1" applyFont="1" applyFill="1" applyBorder="1" applyAlignment="1" applyProtection="1">
      <alignment horizontal="center"/>
      <protection locked="0"/>
    </xf>
    <xf numFmtId="1" fontId="6" fillId="19" borderId="2" xfId="2" applyNumberFormat="1" applyFont="1" applyFill="1" applyBorder="1" applyAlignment="1" applyProtection="1">
      <alignment horizontal="center"/>
      <protection locked="0"/>
    </xf>
    <xf numFmtId="0" fontId="42" fillId="2" borderId="0" xfId="0" applyFont="1" applyFill="1" applyBorder="1" applyAlignment="1" applyProtection="1">
      <alignment horizontal="left"/>
    </xf>
    <xf numFmtId="0" fontId="6" fillId="19" borderId="2" xfId="2" applyNumberFormat="1" applyFont="1" applyFill="1" applyBorder="1" applyAlignment="1" applyProtection="1">
      <alignment horizontal="left"/>
      <protection locked="0"/>
    </xf>
    <xf numFmtId="0" fontId="6" fillId="19" borderId="2"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0" fillId="0" borderId="0" xfId="0" applyFill="1" applyAlignment="1" applyProtection="1">
      <alignment horizontal="left" vertical="top" wrapText="1"/>
    </xf>
    <xf numFmtId="0" fontId="6" fillId="5" borderId="2" xfId="2" applyNumberFormat="1" applyFont="1" applyFill="1" applyBorder="1" applyAlignment="1" applyProtection="1">
      <alignment horizontal="center"/>
      <protection locked="0"/>
    </xf>
    <xf numFmtId="0" fontId="41" fillId="2" borderId="0" xfId="3" applyFont="1" applyFill="1" applyAlignment="1" applyProtection="1"/>
    <xf numFmtId="169" fontId="6" fillId="18" borderId="2" xfId="2" applyNumberFormat="1" applyFont="1" applyFill="1" applyBorder="1" applyAlignment="1" applyProtection="1">
      <alignment horizontal="left"/>
      <protection locked="0"/>
    </xf>
    <xf numFmtId="1" fontId="6" fillId="3" borderId="2" xfId="2" applyNumberFormat="1" applyFont="1" applyFill="1" applyBorder="1" applyAlignment="1" applyProtection="1">
      <alignment horizontal="left"/>
      <protection locked="0"/>
    </xf>
    <xf numFmtId="1" fontId="6" fillId="19" borderId="2" xfId="2" applyNumberFormat="1" applyFont="1" applyFill="1" applyBorder="1" applyAlignment="1" applyProtection="1">
      <alignment horizontal="left"/>
      <protection locked="0"/>
    </xf>
    <xf numFmtId="0" fontId="17" fillId="2" borderId="0" xfId="0" applyFont="1" applyFill="1"/>
    <xf numFmtId="0" fontId="6" fillId="2" borderId="0" xfId="0" applyFont="1" applyFill="1" applyAlignment="1">
      <alignment horizontal="left"/>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center"/>
    </xf>
    <xf numFmtId="0" fontId="0" fillId="2" borderId="0" xfId="0" applyFont="1" applyFill="1" applyBorder="1" applyAlignment="1" applyProtection="1">
      <alignment horizontal="left" wrapText="1"/>
    </xf>
    <xf numFmtId="14" fontId="6" fillId="3" borderId="2" xfId="2" applyNumberFormat="1" applyFont="1" applyFill="1" applyBorder="1" applyAlignment="1" applyProtection="1">
      <alignment horizontal="left"/>
      <protection locked="0"/>
    </xf>
    <xf numFmtId="0" fontId="6" fillId="0" borderId="19" xfId="0" applyFont="1" applyFill="1" applyBorder="1"/>
    <xf numFmtId="49" fontId="6" fillId="0" borderId="19" xfId="0" applyNumberFormat="1" applyFont="1" applyFill="1" applyBorder="1"/>
    <xf numFmtId="0" fontId="6" fillId="0" borderId="19" xfId="0" applyFont="1" applyFill="1" applyBorder="1" applyProtection="1"/>
    <xf numFmtId="0" fontId="6" fillId="0" borderId="3" xfId="0" applyFont="1" applyFill="1" applyBorder="1"/>
    <xf numFmtId="0" fontId="6" fillId="0" borderId="3" xfId="0" applyFont="1" applyFill="1" applyBorder="1" applyProtection="1"/>
    <xf numFmtId="0" fontId="13" fillId="2" borderId="0" xfId="0" applyFont="1" applyFill="1" applyBorder="1" applyAlignment="1" applyProtection="1">
      <alignment horizontal="left" wrapText="1"/>
    </xf>
    <xf numFmtId="0" fontId="0" fillId="0" borderId="0" xfId="0" applyFill="1" applyBorder="1" applyProtection="1"/>
    <xf numFmtId="0" fontId="3" fillId="0" borderId="0" xfId="0" applyFont="1" applyFill="1" applyAlignment="1" applyProtection="1">
      <alignment vertical="top" wrapText="1"/>
    </xf>
    <xf numFmtId="0" fontId="2" fillId="2" borderId="14" xfId="0" applyFont="1" applyFill="1" applyBorder="1" applyAlignment="1" applyProtection="1">
      <alignment horizontal="center"/>
    </xf>
    <xf numFmtId="0" fontId="3" fillId="0" borderId="14" xfId="0" applyFont="1" applyFill="1" applyBorder="1" applyAlignment="1" applyProtection="1">
      <alignment vertical="top" wrapText="1"/>
    </xf>
    <xf numFmtId="0" fontId="0" fillId="0" borderId="14" xfId="0" applyFill="1" applyBorder="1" applyProtection="1"/>
    <xf numFmtId="0" fontId="6" fillId="2" borderId="14" xfId="0" applyFont="1" applyFill="1" applyBorder="1" applyAlignment="1" applyProtection="1">
      <alignment horizontal="right"/>
    </xf>
    <xf numFmtId="0" fontId="0" fillId="2" borderId="14" xfId="0" applyFont="1" applyFill="1" applyBorder="1" applyProtection="1"/>
    <xf numFmtId="0" fontId="3" fillId="7" borderId="0" xfId="0" applyFont="1" applyFill="1" applyBorder="1" applyAlignment="1" applyProtection="1">
      <alignment vertical="top"/>
    </xf>
    <xf numFmtId="0" fontId="0" fillId="2" borderId="0" xfId="0" applyFont="1" applyFill="1" applyBorder="1" applyAlignment="1" applyProtection="1">
      <alignment horizontal="left"/>
    </xf>
    <xf numFmtId="0" fontId="0" fillId="2" borderId="0" xfId="0" applyFill="1" applyAlignment="1" applyProtection="1">
      <alignment horizontal="left" vertical="center"/>
    </xf>
    <xf numFmtId="1" fontId="6" fillId="3" borderId="0" xfId="2" applyNumberFormat="1" applyFont="1" applyFill="1" applyBorder="1" applyAlignment="1" applyProtection="1">
      <alignment horizontal="right"/>
      <protection locked="0"/>
    </xf>
    <xf numFmtId="10" fontId="6" fillId="3" borderId="2" xfId="2" applyNumberFormat="1" applyFont="1" applyFill="1" applyBorder="1" applyAlignment="1" applyProtection="1">
      <alignment horizontal="right"/>
      <protection locked="0"/>
    </xf>
    <xf numFmtId="0" fontId="2" fillId="2" borderId="15" xfId="0" applyFont="1" applyFill="1" applyBorder="1" applyAlignment="1" applyProtection="1">
      <alignment horizontal="right"/>
    </xf>
    <xf numFmtId="44" fontId="0" fillId="2" borderId="2" xfId="2" applyNumberFormat="1" applyFont="1" applyFill="1" applyBorder="1" applyAlignment="1" applyProtection="1">
      <alignment horizontal="right"/>
    </xf>
    <xf numFmtId="49" fontId="6" fillId="18" borderId="2" xfId="2" applyNumberFormat="1" applyFont="1" applyFill="1" applyBorder="1" applyAlignment="1" applyProtection="1">
      <alignment horizontal="left"/>
      <protection locked="0"/>
    </xf>
    <xf numFmtId="169" fontId="6" fillId="6" borderId="2" xfId="2" applyNumberFormat="1" applyFont="1" applyFill="1" applyBorder="1" applyAlignment="1" applyProtection="1">
      <alignment horizontal="left"/>
    </xf>
    <xf numFmtId="0" fontId="43" fillId="0" borderId="0" xfId="0" applyFont="1"/>
    <xf numFmtId="3" fontId="0" fillId="2" borderId="0" xfId="0" applyNumberFormat="1" applyFill="1" applyBorder="1" applyProtection="1"/>
    <xf numFmtId="0" fontId="0" fillId="0" borderId="0" xfId="0" applyFill="1"/>
    <xf numFmtId="0" fontId="0" fillId="0" borderId="0" xfId="0" applyFill="1" applyAlignment="1">
      <alignment horizontal="left"/>
    </xf>
    <xf numFmtId="0" fontId="0" fillId="0" borderId="0" xfId="0" applyFill="1" applyAlignment="1">
      <alignment vertical="center"/>
    </xf>
    <xf numFmtId="0" fontId="0" fillId="0" borderId="19" xfId="0" applyFill="1" applyBorder="1" applyAlignment="1">
      <alignment vertical="center"/>
    </xf>
    <xf numFmtId="49" fontId="6" fillId="5" borderId="2" xfId="0" applyNumberFormat="1" applyFont="1" applyFill="1" applyBorder="1" applyAlignment="1" applyProtection="1">
      <alignment horizontal="center" vertical="center"/>
      <protection locked="0"/>
    </xf>
    <xf numFmtId="49" fontId="6" fillId="18" borderId="2" xfId="2" applyNumberFormat="1" applyFont="1" applyFill="1" applyBorder="1" applyAlignment="1" applyProtection="1">
      <alignment horizontal="center"/>
      <protection locked="0"/>
    </xf>
    <xf numFmtId="0" fontId="6" fillId="10" borderId="3" xfId="0" applyFont="1" applyFill="1" applyBorder="1" applyAlignment="1">
      <alignment horizontal="left" vertical="center"/>
    </xf>
    <xf numFmtId="0" fontId="0" fillId="2" borderId="0" xfId="0" applyFill="1" applyAlignment="1">
      <alignment horizontal="left" vertical="top" wrapText="1"/>
    </xf>
    <xf numFmtId="0" fontId="6" fillId="2" borderId="5"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0" fillId="2" borderId="0" xfId="0" applyFill="1" applyBorder="1" applyAlignment="1" applyProtection="1">
      <alignment horizontal="left" vertical="top" wrapText="1"/>
    </xf>
    <xf numFmtId="0" fontId="24" fillId="2" borderId="0" xfId="0" applyFont="1" applyFill="1" applyBorder="1" applyAlignment="1" applyProtection="1">
      <alignment horizontal="left" vertical="center"/>
    </xf>
    <xf numFmtId="0" fontId="6" fillId="10" borderId="3" xfId="0" applyFont="1" applyFill="1" applyBorder="1" applyAlignment="1" applyProtection="1">
      <alignment horizontal="left" vertical="center"/>
    </xf>
    <xf numFmtId="0" fontId="6" fillId="2" borderId="5"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0" fillId="2" borderId="0" xfId="0" applyFill="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0" xfId="0" applyFill="1" applyBorder="1" applyAlignment="1" applyProtection="1">
      <alignment horizontal="center"/>
    </xf>
    <xf numFmtId="0" fontId="0" fillId="2" borderId="0" xfId="0" applyFill="1" applyBorder="1" applyAlignment="1" applyProtection="1">
      <alignment horizontal="center" wrapText="1"/>
    </xf>
    <xf numFmtId="0" fontId="6" fillId="2" borderId="6" xfId="0" applyFont="1" applyFill="1" applyBorder="1" applyAlignment="1" applyProtection="1">
      <alignment horizontal="center"/>
    </xf>
    <xf numFmtId="0" fontId="6" fillId="2" borderId="0" xfId="0" applyFont="1" applyFill="1" applyAlignment="1" applyProtection="1">
      <alignment horizontal="center"/>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center" wrapText="1"/>
    </xf>
    <xf numFmtId="0" fontId="0" fillId="2" borderId="0" xfId="0" applyFill="1" applyAlignment="1" applyProtection="1">
      <alignment horizontal="right" vertical="top" wrapText="1"/>
    </xf>
    <xf numFmtId="0" fontId="6" fillId="2" borderId="0" xfId="0" applyFont="1" applyFill="1" applyBorder="1" applyAlignment="1" applyProtection="1">
      <alignment horizontal="right" wrapText="1"/>
    </xf>
    <xf numFmtId="9" fontId="20" fillId="2" borderId="6" xfId="2" applyNumberFormat="1" applyFont="1" applyFill="1" applyBorder="1" applyAlignment="1" applyProtection="1">
      <alignment horizontal="right"/>
    </xf>
    <xf numFmtId="9" fontId="20" fillId="2" borderId="0" xfId="2" applyNumberFormat="1" applyFont="1" applyFill="1" applyBorder="1" applyAlignment="1" applyProtection="1">
      <alignment horizontal="right"/>
    </xf>
    <xf numFmtId="0" fontId="0" fillId="0" borderId="0" xfId="0" applyFill="1" applyAlignment="1" applyProtection="1">
      <alignment horizontal="left" vertical="top" wrapText="1"/>
    </xf>
    <xf numFmtId="0" fontId="3" fillId="0" borderId="0" xfId="0" applyFont="1" applyFill="1" applyAlignment="1" applyProtection="1">
      <alignment horizontal="center" vertical="top" wrapText="1"/>
    </xf>
    <xf numFmtId="0" fontId="0" fillId="2" borderId="0" xfId="0" applyFill="1" applyAlignment="1" applyProtection="1">
      <alignment horizontal="right"/>
    </xf>
    <xf numFmtId="0" fontId="0" fillId="2" borderId="7" xfId="0" applyFill="1" applyBorder="1" applyAlignment="1" applyProtection="1">
      <alignment horizontal="right"/>
    </xf>
    <xf numFmtId="1" fontId="6" fillId="19" borderId="2" xfId="2" applyNumberFormat="1" applyFont="1" applyFill="1" applyBorder="1" applyAlignment="1" applyProtection="1">
      <alignment horizontal="center"/>
      <protection locked="0"/>
    </xf>
    <xf numFmtId="0" fontId="0" fillId="2" borderId="0" xfId="0" applyFont="1" applyFill="1" applyBorder="1" applyAlignment="1" applyProtection="1">
      <alignment horizontal="left" wrapText="1"/>
    </xf>
  </cellXfs>
  <cellStyles count="55">
    <cellStyle name="20% - Accent3 2" xfId="15" xr:uid="{00000000-0005-0000-0000-000000000000}"/>
    <cellStyle name="20% - Accent5" xfId="6" builtinId="46"/>
    <cellStyle name="40% - Accent2" xfId="8" builtinId="35"/>
    <cellStyle name="Accent2" xfId="5" builtinId="33"/>
    <cellStyle name="Calculation 2" xfId="16" xr:uid="{00000000-0005-0000-0000-000004000000}"/>
    <cellStyle name="Comma" xfId="1" builtinId="3"/>
    <cellStyle name="Comma 2" xfId="14" xr:uid="{00000000-0005-0000-0000-000006000000}"/>
    <cellStyle name="Comma 3" xfId="27" xr:uid="{00000000-0005-0000-0000-000007000000}"/>
    <cellStyle name="Comma 3 2" xfId="44" xr:uid="{00000000-0005-0000-0000-000008000000}"/>
    <cellStyle name="Comma 3 3" xfId="39" xr:uid="{00000000-0005-0000-0000-000009000000}"/>
    <cellStyle name="Comma0" xfId="10" xr:uid="{00000000-0005-0000-0000-00000A000000}"/>
    <cellStyle name="Currency" xfId="2" builtinId="4"/>
    <cellStyle name="Currency 2" xfId="17" xr:uid="{00000000-0005-0000-0000-00000C000000}"/>
    <cellStyle name="Currency 2 2" xfId="29" xr:uid="{00000000-0005-0000-0000-00000D000000}"/>
    <cellStyle name="Currency 3" xfId="28" xr:uid="{00000000-0005-0000-0000-00000E000000}"/>
    <cellStyle name="Currency0" xfId="11" xr:uid="{00000000-0005-0000-0000-00000F000000}"/>
    <cellStyle name="Date" xfId="18" xr:uid="{00000000-0005-0000-0000-000010000000}"/>
    <cellStyle name="Fixed" xfId="19" xr:uid="{00000000-0005-0000-0000-000011000000}"/>
    <cellStyle name="Followed Hyperlink 2" xfId="35" xr:uid="{00000000-0005-0000-0000-000012000000}"/>
    <cellStyle name="Heading 1 2" xfId="30" xr:uid="{00000000-0005-0000-0000-000013000000}"/>
    <cellStyle name="Heading 2 2" xfId="31" xr:uid="{00000000-0005-0000-0000-000014000000}"/>
    <cellStyle name="Hyperlink" xfId="3" builtinId="8"/>
    <cellStyle name="Hyperlink 2" xfId="4" xr:uid="{00000000-0005-0000-0000-000016000000}"/>
    <cellStyle name="Input 2" xfId="20" xr:uid="{00000000-0005-0000-0000-000017000000}"/>
    <cellStyle name="Normal" xfId="0" builtinId="0"/>
    <cellStyle name="Normal 11" xfId="48" xr:uid="{00000000-0005-0000-0000-000019000000}"/>
    <cellStyle name="Normal 12" xfId="49" xr:uid="{00000000-0005-0000-0000-00001A000000}"/>
    <cellStyle name="Normal 14" xfId="53" xr:uid="{00000000-0005-0000-0000-00001B000000}"/>
    <cellStyle name="Normal 2" xfId="12" xr:uid="{00000000-0005-0000-0000-00001C000000}"/>
    <cellStyle name="Normal 2 2" xfId="23" xr:uid="{00000000-0005-0000-0000-00001D000000}"/>
    <cellStyle name="Normal 2 2 2" xfId="32" xr:uid="{00000000-0005-0000-0000-00001E000000}"/>
    <cellStyle name="Normal 2 3" xfId="24" xr:uid="{00000000-0005-0000-0000-00001F000000}"/>
    <cellStyle name="Normal 2 4" xfId="7" xr:uid="{00000000-0005-0000-0000-000020000000}"/>
    <cellStyle name="Normal 3" xfId="21" xr:uid="{00000000-0005-0000-0000-000021000000}"/>
    <cellStyle name="Normal 3 2" xfId="33" xr:uid="{00000000-0005-0000-0000-000022000000}"/>
    <cellStyle name="Normal 3 3" xfId="37" xr:uid="{00000000-0005-0000-0000-000023000000}"/>
    <cellStyle name="Normal 3 4" xfId="54" xr:uid="{00000000-0005-0000-0000-000024000000}"/>
    <cellStyle name="Normal 4" xfId="22" xr:uid="{00000000-0005-0000-0000-000025000000}"/>
    <cellStyle name="Normal 5" xfId="25" xr:uid="{00000000-0005-0000-0000-000026000000}"/>
    <cellStyle name="Normal 6" xfId="36" xr:uid="{00000000-0005-0000-0000-000027000000}"/>
    <cellStyle name="Normal 6 2" xfId="43" xr:uid="{00000000-0005-0000-0000-000028000000}"/>
    <cellStyle name="Normal 6 3" xfId="38" xr:uid="{00000000-0005-0000-0000-000029000000}"/>
    <cellStyle name="Normal 6 4" xfId="52" xr:uid="{00000000-0005-0000-0000-00002A000000}"/>
    <cellStyle name="Normal 7" xfId="41" xr:uid="{00000000-0005-0000-0000-00002B000000}"/>
    <cellStyle name="Normal 7 2" xfId="46" xr:uid="{00000000-0005-0000-0000-00002C000000}"/>
    <cellStyle name="Percent" xfId="9" builtinId="5"/>
    <cellStyle name="Percent 2" xfId="13" xr:uid="{00000000-0005-0000-0000-00002E000000}"/>
    <cellStyle name="Percent 2 2" xfId="50" xr:uid="{00000000-0005-0000-0000-00002F000000}"/>
    <cellStyle name="Percent 3" xfId="26" xr:uid="{00000000-0005-0000-0000-000030000000}"/>
    <cellStyle name="Percent 3 2" xfId="45" xr:uid="{00000000-0005-0000-0000-000031000000}"/>
    <cellStyle name="Percent 3 3" xfId="40" xr:uid="{00000000-0005-0000-0000-000032000000}"/>
    <cellStyle name="Percent 4" xfId="42" xr:uid="{00000000-0005-0000-0000-000033000000}"/>
    <cellStyle name="Percent 4 2" xfId="47" xr:uid="{00000000-0005-0000-0000-000034000000}"/>
    <cellStyle name="Percent 7" xfId="51" xr:uid="{00000000-0005-0000-0000-000035000000}"/>
    <cellStyle name="Total 2" xfId="34" xr:uid="{00000000-0005-0000-0000-000036000000}"/>
  </cellStyles>
  <dxfs count="3">
    <dxf>
      <numFmt numFmtId="30" formatCode="@"/>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9.9948118533890809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4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489550</xdr:colOff>
      <xdr:row>0</xdr:row>
      <xdr:rowOff>689384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93579" cy="539873"/>
        </a:xfrm>
        <a:prstGeom prst="rect">
          <a:avLst/>
        </a:prstGeom>
      </xdr:spPr>
    </xdr:pic>
    <xdr:clientData/>
  </xdr:twoCellAnchor>
  <xdr:twoCellAnchor editAs="oneCell">
    <xdr:from>
      <xdr:col>8</xdr:col>
      <xdr:colOff>1378323</xdr:colOff>
      <xdr:row>0</xdr:row>
      <xdr:rowOff>67236</xdr:rowOff>
    </xdr:from>
    <xdr:to>
      <xdr:col>12</xdr:col>
      <xdr:colOff>624719</xdr:colOff>
      <xdr:row>0</xdr:row>
      <xdr:rowOff>737949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64705" y="67236"/>
          <a:ext cx="4064926" cy="670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2309339</xdr:colOff>
      <xdr:row>0</xdr:row>
      <xdr:rowOff>689384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6</xdr:col>
      <xdr:colOff>148166</xdr:colOff>
      <xdr:row>0</xdr:row>
      <xdr:rowOff>84667</xdr:rowOff>
    </xdr:from>
    <xdr:to>
      <xdr:col>8</xdr:col>
      <xdr:colOff>160999</xdr:colOff>
      <xdr:row>0</xdr:row>
      <xdr:rowOff>755380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29083" y="84667"/>
          <a:ext cx="4064926" cy="6707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2060852</xdr:colOff>
      <xdr:row>0</xdr:row>
      <xdr:rowOff>689384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98871" cy="539873"/>
        </a:xfrm>
        <a:prstGeom prst="rect">
          <a:avLst/>
        </a:prstGeom>
      </xdr:spPr>
    </xdr:pic>
    <xdr:clientData/>
  </xdr:twoCellAnchor>
  <xdr:twoCellAnchor editAs="oneCell">
    <xdr:from>
      <xdr:col>8</xdr:col>
      <xdr:colOff>574902</xdr:colOff>
      <xdr:row>0</xdr:row>
      <xdr:rowOff>96951</xdr:rowOff>
    </xdr:from>
    <xdr:to>
      <xdr:col>11</xdr:col>
      <xdr:colOff>81435</xdr:colOff>
      <xdr:row>0</xdr:row>
      <xdr:rowOff>767664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64183" y="96951"/>
          <a:ext cx="4066627" cy="6707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2111431</xdr:colOff>
      <xdr:row>0</xdr:row>
      <xdr:rowOff>689384</xdr:rowOff>
    </xdr:to>
    <xdr:pic>
      <xdr:nvPicPr>
        <xdr:cNvPr id="2" name="Picture 1">
          <a:extLst>
            <a:ext uri="{FF2B5EF4-FFF2-40B4-BE49-F238E27FC236}">
              <a16:creationId xmlns:a16="http://schemas.microsoft.com/office/drawing/2014/main" id="{E2CBE54A-18DA-4BD8-A69B-AA4626A4B4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7</xdr:col>
      <xdr:colOff>54428</xdr:colOff>
      <xdr:row>0</xdr:row>
      <xdr:rowOff>81643</xdr:rowOff>
    </xdr:from>
    <xdr:to>
      <xdr:col>9</xdr:col>
      <xdr:colOff>314457</xdr:colOff>
      <xdr:row>0</xdr:row>
      <xdr:rowOff>752356</xdr:rowOff>
    </xdr:to>
    <xdr:pic>
      <xdr:nvPicPr>
        <xdr:cNvPr id="3" name="Picture 2">
          <a:extLst>
            <a:ext uri="{FF2B5EF4-FFF2-40B4-BE49-F238E27FC236}">
              <a16:creationId xmlns:a16="http://schemas.microsoft.com/office/drawing/2014/main" id="{DDCF963A-2387-41D5-A88B-215A369C19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93978" y="81643"/>
          <a:ext cx="4070029" cy="6707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2197156</xdr:colOff>
      <xdr:row>0</xdr:row>
      <xdr:rowOff>689384</xdr:rowOff>
    </xdr:to>
    <xdr:pic>
      <xdr:nvPicPr>
        <xdr:cNvPr id="2" name="Picture 1">
          <a:extLst>
            <a:ext uri="{FF2B5EF4-FFF2-40B4-BE49-F238E27FC236}">
              <a16:creationId xmlns:a16="http://schemas.microsoft.com/office/drawing/2014/main" id="{CF21938F-60BC-404A-BF20-1FD924EA05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8</xdr:col>
      <xdr:colOff>108478</xdr:colOff>
      <xdr:row>0</xdr:row>
      <xdr:rowOff>84666</xdr:rowOff>
    </xdr:from>
    <xdr:to>
      <xdr:col>10</xdr:col>
      <xdr:colOff>361513</xdr:colOff>
      <xdr:row>0</xdr:row>
      <xdr:rowOff>755379</xdr:rowOff>
    </xdr:to>
    <xdr:pic>
      <xdr:nvPicPr>
        <xdr:cNvPr id="3" name="Picture 2">
          <a:extLst>
            <a:ext uri="{FF2B5EF4-FFF2-40B4-BE49-F238E27FC236}">
              <a16:creationId xmlns:a16="http://schemas.microsoft.com/office/drawing/2014/main" id="{2843BDE2-D35E-4BFC-8CA0-0B04928E7D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85916" y="84666"/>
          <a:ext cx="4063035" cy="6707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2197156</xdr:colOff>
      <xdr:row>0</xdr:row>
      <xdr:rowOff>689384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98871" cy="539873"/>
        </a:xfrm>
        <a:prstGeom prst="rect">
          <a:avLst/>
        </a:prstGeom>
      </xdr:spPr>
    </xdr:pic>
    <xdr:clientData/>
  </xdr:twoCellAnchor>
  <xdr:twoCellAnchor editAs="oneCell">
    <xdr:from>
      <xdr:col>8</xdr:col>
      <xdr:colOff>108483</xdr:colOff>
      <xdr:row>0</xdr:row>
      <xdr:rowOff>72760</xdr:rowOff>
    </xdr:from>
    <xdr:to>
      <xdr:col>10</xdr:col>
      <xdr:colOff>361518</xdr:colOff>
      <xdr:row>0</xdr:row>
      <xdr:rowOff>743473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74014" y="72760"/>
          <a:ext cx="4063035" cy="6707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3</xdr:col>
      <xdr:colOff>2220968</xdr:colOff>
      <xdr:row>0</xdr:row>
      <xdr:rowOff>689384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60" y="149511"/>
          <a:ext cx="3063946" cy="539873"/>
        </a:xfrm>
        <a:prstGeom prst="rect">
          <a:avLst/>
        </a:prstGeom>
      </xdr:spPr>
    </xdr:pic>
    <xdr:clientData/>
  </xdr:twoCellAnchor>
  <xdr:twoCellAnchor editAs="oneCell">
    <xdr:from>
      <xdr:col>4</xdr:col>
      <xdr:colOff>1227667</xdr:colOff>
      <xdr:row>0</xdr:row>
      <xdr:rowOff>84666</xdr:rowOff>
    </xdr:from>
    <xdr:to>
      <xdr:col>6</xdr:col>
      <xdr:colOff>1480702</xdr:colOff>
      <xdr:row>0</xdr:row>
      <xdr:rowOff>755379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392" y="84666"/>
          <a:ext cx="4058273" cy="6707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4</xdr:col>
      <xdr:colOff>292156</xdr:colOff>
      <xdr:row>0</xdr:row>
      <xdr:rowOff>689384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4</xdr:col>
      <xdr:colOff>1227667</xdr:colOff>
      <xdr:row>0</xdr:row>
      <xdr:rowOff>84666</xdr:rowOff>
    </xdr:from>
    <xdr:to>
      <xdr:col>6</xdr:col>
      <xdr:colOff>1480702</xdr:colOff>
      <xdr:row>0</xdr:row>
      <xdr:rowOff>755379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51967" y="84666"/>
          <a:ext cx="4063035" cy="6707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95235</xdr:colOff>
      <xdr:row>0</xdr:row>
      <xdr:rowOff>149511</xdr:rowOff>
    </xdr:from>
    <xdr:to>
      <xdr:col>2</xdr:col>
      <xdr:colOff>2111431</xdr:colOff>
      <xdr:row>0</xdr:row>
      <xdr:rowOff>689384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35" y="149511"/>
          <a:ext cx="3063946" cy="539873"/>
        </a:xfrm>
        <a:prstGeom prst="rect">
          <a:avLst/>
        </a:prstGeom>
      </xdr:spPr>
    </xdr:pic>
    <xdr:clientData/>
  </xdr:twoCellAnchor>
  <xdr:twoCellAnchor editAs="oneCell">
    <xdr:from>
      <xdr:col>7</xdr:col>
      <xdr:colOff>54428</xdr:colOff>
      <xdr:row>0</xdr:row>
      <xdr:rowOff>81643</xdr:rowOff>
    </xdr:from>
    <xdr:to>
      <xdr:col>9</xdr:col>
      <xdr:colOff>314457</xdr:colOff>
      <xdr:row>0</xdr:row>
      <xdr:rowOff>752356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34107" y="81643"/>
          <a:ext cx="4064926" cy="670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oregon-my.sharepoint.com/personal/michael_s_hill_oregon_gov/Documents/Desktop/PreApp%20Development/OHCS%20Proforma%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osal Summary"/>
      <sheetName val="Narratives"/>
      <sheetName val="Project Details"/>
      <sheetName val="SD_Dropdowns"/>
      <sheetName val="Development Team"/>
      <sheetName val="Prolink"/>
      <sheetName val="Budget Sources"/>
      <sheetName val="Budget Uses"/>
      <sheetName val="Rents and Incomes"/>
      <sheetName val="Operating Budget"/>
      <sheetName val="Commercial Operating Budget"/>
      <sheetName val="LIHTC Calc (site Entry)"/>
      <sheetName val="LIHTC Calc (summary)"/>
      <sheetName val="Multifamily Bonds"/>
      <sheetName val="OAHTC Calculation"/>
      <sheetName val="OAHTC_Amortization"/>
      <sheetName val="Developer Fee"/>
      <sheetName val="Scoring_9% NewConst&amp;AcqRehab"/>
      <sheetName val="Scoring_9% Preservation"/>
      <sheetName val="Scoring_HOME NewConst&amp;AcqRehab"/>
      <sheetName val="Scoring_HOME Preservation"/>
      <sheetName val="Scoring_LIFT Quantitative"/>
      <sheetName val="Scoring_LIFT Narrative"/>
      <sheetName val="Scoring_Preservation PuSH"/>
      <sheetName val="Scoring_Preservation FedRAH"/>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LIHTCRents 19"/>
      <sheetName val="LIHTCIncomes 19"/>
      <sheetName val="HOMERents_19"/>
      <sheetName val="HTF Rent Limits_19"/>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24B6CA"/>
      </a:accent1>
      <a:accent2>
        <a:srgbClr val="73D9E7"/>
      </a:accent2>
      <a:accent3>
        <a:srgbClr val="C2EEF4"/>
      </a:accent3>
      <a:accent4>
        <a:srgbClr val="E6F8FA"/>
      </a:accent4>
      <a:accent5>
        <a:srgbClr val="EDEFF3"/>
      </a:accent5>
      <a:accent6>
        <a:srgbClr val="CFD6DF"/>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hyperlink" Target="https://tools.usps.com/go/ZipLookupAction!input.action" TargetMode="External"/><Relationship Id="rId18" Type="http://schemas.openxmlformats.org/officeDocument/2006/relationships/hyperlink" Target="https://www.legislature.ohio.gov/legislators/find-my-legislators" TargetMode="External"/><Relationship Id="rId26" Type="http://schemas.openxmlformats.org/officeDocument/2006/relationships/hyperlink" Target="https://www.legislature.ohio.gov/legislators/find-my-legislators" TargetMode="External"/><Relationship Id="rId39" Type="http://schemas.openxmlformats.org/officeDocument/2006/relationships/hyperlink" Target="https://mynasadata.larc.nasa.gov/latitudelongitude-finder/" TargetMode="External"/><Relationship Id="rId21" Type="http://schemas.openxmlformats.org/officeDocument/2006/relationships/hyperlink" Target="https://tools.usps.com/go/ZipLookupAction!input.action" TargetMode="External"/><Relationship Id="rId34" Type="http://schemas.openxmlformats.org/officeDocument/2006/relationships/hyperlink" Target="https://www.legislature.ohio.gov/legislators/find-my-legislators" TargetMode="External"/><Relationship Id="rId42" Type="http://schemas.openxmlformats.org/officeDocument/2006/relationships/hyperlink" Target="https://www.legislature.ohio.gov/legislators/find-my-legislators" TargetMode="External"/><Relationship Id="rId47" Type="http://schemas.openxmlformats.org/officeDocument/2006/relationships/hyperlink" Target="https://mynasadata.larc.nasa.gov/latitudelongitude-finder/" TargetMode="External"/><Relationship Id="rId50" Type="http://schemas.openxmlformats.org/officeDocument/2006/relationships/hyperlink" Target="https://getlatlong.net/" TargetMode="External"/><Relationship Id="rId55" Type="http://schemas.openxmlformats.org/officeDocument/2006/relationships/hyperlink" Target="https://www.oregonlegislature.gov/findyourlegislator/leg-districts.html" TargetMode="External"/><Relationship Id="rId63" Type="http://schemas.openxmlformats.org/officeDocument/2006/relationships/vmlDrawing" Target="../drawings/vmlDrawing1.vml"/><Relationship Id="rId7" Type="http://schemas.openxmlformats.org/officeDocument/2006/relationships/hyperlink" Target="https://www.legislature.ohio.gov/legislators/find-my-legislators" TargetMode="External"/><Relationship Id="rId2" Type="http://schemas.openxmlformats.org/officeDocument/2006/relationships/hyperlink" Target="https://mynasadata.larc.nasa.gov/latitudelongitude-finder/" TargetMode="External"/><Relationship Id="rId16" Type="http://schemas.openxmlformats.org/officeDocument/2006/relationships/hyperlink" Target="https://mynasadata.larc.nasa.gov/latitudelongitude-finder/" TargetMode="External"/><Relationship Id="rId29" Type="http://schemas.openxmlformats.org/officeDocument/2006/relationships/hyperlink" Target="https://tools.usps.com/go/ZipLookupAction!input.action" TargetMode="External"/><Relationship Id="rId11" Type="http://schemas.openxmlformats.org/officeDocument/2006/relationships/hyperlink" Target="https://www.legislature.ohio.gov/legislators/find-my-legislators" TargetMode="External"/><Relationship Id="rId24" Type="http://schemas.openxmlformats.org/officeDocument/2006/relationships/hyperlink" Target="https://mynasadata.larc.nasa.gov/latitudelongitude-finder/" TargetMode="External"/><Relationship Id="rId32" Type="http://schemas.openxmlformats.org/officeDocument/2006/relationships/hyperlink" Target="https://mynasadata.larc.nasa.gov/latitudelongitude-finder/" TargetMode="External"/><Relationship Id="rId37" Type="http://schemas.openxmlformats.org/officeDocument/2006/relationships/hyperlink" Target="https://tools.usps.com/go/ZipLookupAction!input.action" TargetMode="External"/><Relationship Id="rId40" Type="http://schemas.openxmlformats.org/officeDocument/2006/relationships/hyperlink" Target="https://mynasadata.larc.nasa.gov/latitudelongitude-finder/" TargetMode="External"/><Relationship Id="rId45" Type="http://schemas.openxmlformats.org/officeDocument/2006/relationships/hyperlink" Target="https://tools.usps.com/go/ZipLookupAction!input.action" TargetMode="External"/><Relationship Id="rId53" Type="http://schemas.openxmlformats.org/officeDocument/2006/relationships/hyperlink" Target="https://getlatlong.net/" TargetMode="External"/><Relationship Id="rId58" Type="http://schemas.openxmlformats.org/officeDocument/2006/relationships/hyperlink" Target="https://www.oregonlegislature.gov/findyourlegislator/leg-districts.html" TargetMode="External"/><Relationship Id="rId5" Type="http://schemas.openxmlformats.org/officeDocument/2006/relationships/hyperlink" Target="https://tools.usps.com/go/ZipLookupAction!input.action" TargetMode="External"/><Relationship Id="rId61" Type="http://schemas.openxmlformats.org/officeDocument/2006/relationships/printerSettings" Target="../printerSettings/printerSettings2.bin"/><Relationship Id="rId19" Type="http://schemas.openxmlformats.org/officeDocument/2006/relationships/hyperlink" Target="https://www.legislature.ohio.gov/legislators/find-my-legislators" TargetMode="External"/><Relationship Id="rId14" Type="http://schemas.openxmlformats.org/officeDocument/2006/relationships/hyperlink" Target="https://geomap.ffiec.gov/FFIECGeocMap/GeocodeMap1.aspx" TargetMode="External"/><Relationship Id="rId22" Type="http://schemas.openxmlformats.org/officeDocument/2006/relationships/hyperlink" Target="https://geomap.ffiec.gov/FFIECGeocMap/GeocodeMap1.aspx" TargetMode="External"/><Relationship Id="rId27" Type="http://schemas.openxmlformats.org/officeDocument/2006/relationships/hyperlink" Target="https://www.legislature.ohio.gov/legislators/find-my-legislators" TargetMode="External"/><Relationship Id="rId30" Type="http://schemas.openxmlformats.org/officeDocument/2006/relationships/hyperlink" Target="https://geomap.ffiec.gov/FFIECGeocMap/GeocodeMap1.aspx" TargetMode="External"/><Relationship Id="rId35" Type="http://schemas.openxmlformats.org/officeDocument/2006/relationships/hyperlink" Target="https://www.legislature.ohio.gov/legislators/find-my-legislators" TargetMode="External"/><Relationship Id="rId43" Type="http://schemas.openxmlformats.org/officeDocument/2006/relationships/hyperlink" Target="https://www.legislature.ohio.gov/legislators/find-my-legislators" TargetMode="External"/><Relationship Id="rId48" Type="http://schemas.openxmlformats.org/officeDocument/2006/relationships/hyperlink" Target="https://mynasadata.larc.nasa.gov/latitudelongitude-finder/" TargetMode="External"/><Relationship Id="rId56" Type="http://schemas.openxmlformats.org/officeDocument/2006/relationships/hyperlink" Target="https://www.oregonlegislature.gov/findyourlegislator/leg-districts.html" TargetMode="External"/><Relationship Id="rId64" Type="http://schemas.openxmlformats.org/officeDocument/2006/relationships/comments" Target="../comments1.xml"/><Relationship Id="rId8" Type="http://schemas.openxmlformats.org/officeDocument/2006/relationships/hyperlink" Target="https://www.house.gov/representatives/find-your-representative" TargetMode="External"/><Relationship Id="rId51" Type="http://schemas.openxmlformats.org/officeDocument/2006/relationships/hyperlink" Target="https://getlatlong.net/" TargetMode="External"/><Relationship Id="rId3" Type="http://schemas.openxmlformats.org/officeDocument/2006/relationships/hyperlink" Target="https://geomap.ffiec.gov/FFIECGeocMap/GeocodeMap1.aspx" TargetMode="External"/><Relationship Id="rId12" Type="http://schemas.openxmlformats.org/officeDocument/2006/relationships/hyperlink" Target="https://tools.usps.com/go/ZipLookupAction!input.action" TargetMode="External"/><Relationship Id="rId17" Type="http://schemas.openxmlformats.org/officeDocument/2006/relationships/hyperlink" Target="https://www.house.gov/representatives/find-your-representative" TargetMode="External"/><Relationship Id="rId25" Type="http://schemas.openxmlformats.org/officeDocument/2006/relationships/hyperlink" Target="https://www.house.gov/representatives/find-your-representative" TargetMode="External"/><Relationship Id="rId33" Type="http://schemas.openxmlformats.org/officeDocument/2006/relationships/hyperlink" Target="https://www.house.gov/representatives/find-your-representative" TargetMode="External"/><Relationship Id="rId38" Type="http://schemas.openxmlformats.org/officeDocument/2006/relationships/hyperlink" Target="https://geomap.ffiec.gov/FFIECGeocMap/GeocodeMap1.aspx" TargetMode="External"/><Relationship Id="rId46" Type="http://schemas.openxmlformats.org/officeDocument/2006/relationships/hyperlink" Target="https://geomap.ffiec.gov/FFIECGeocMap/GeocodeMap1.aspx" TargetMode="External"/><Relationship Id="rId59" Type="http://schemas.openxmlformats.org/officeDocument/2006/relationships/hyperlink" Target="https://www.oregonlegislature.gov/findyourlegislator/leg-districts.html" TargetMode="External"/><Relationship Id="rId20" Type="http://schemas.openxmlformats.org/officeDocument/2006/relationships/hyperlink" Target="https://tools.usps.com/go/ZipLookupAction!input.action" TargetMode="External"/><Relationship Id="rId41" Type="http://schemas.openxmlformats.org/officeDocument/2006/relationships/hyperlink" Target="https://www.house.gov/representatives/find-your-representative" TargetMode="External"/><Relationship Id="rId54" Type="http://schemas.openxmlformats.org/officeDocument/2006/relationships/hyperlink" Target="https://getlatlong.net/" TargetMode="External"/><Relationship Id="rId62" Type="http://schemas.openxmlformats.org/officeDocument/2006/relationships/drawing" Target="../drawings/drawing2.xml"/><Relationship Id="rId1" Type="http://schemas.openxmlformats.org/officeDocument/2006/relationships/hyperlink" Target="https://mynasadata.larc.nasa.gov/latitudelongitude-finder/" TargetMode="External"/><Relationship Id="rId6" Type="http://schemas.openxmlformats.org/officeDocument/2006/relationships/hyperlink" Target="https://www.legislature.ohio.gov/legislators/find-my-legislators" TargetMode="External"/><Relationship Id="rId15" Type="http://schemas.openxmlformats.org/officeDocument/2006/relationships/hyperlink" Target="https://mynasadata.larc.nasa.gov/latitudelongitude-finder/" TargetMode="External"/><Relationship Id="rId23" Type="http://schemas.openxmlformats.org/officeDocument/2006/relationships/hyperlink" Target="https://mynasadata.larc.nasa.gov/latitudelongitude-finder/" TargetMode="External"/><Relationship Id="rId28" Type="http://schemas.openxmlformats.org/officeDocument/2006/relationships/hyperlink" Target="https://tools.usps.com/go/ZipLookupAction!input.action" TargetMode="External"/><Relationship Id="rId36" Type="http://schemas.openxmlformats.org/officeDocument/2006/relationships/hyperlink" Target="https://tools.usps.com/go/ZipLookupAction!input.action" TargetMode="External"/><Relationship Id="rId49" Type="http://schemas.openxmlformats.org/officeDocument/2006/relationships/hyperlink" Target="https://getlatlong.net/" TargetMode="External"/><Relationship Id="rId57" Type="http://schemas.openxmlformats.org/officeDocument/2006/relationships/hyperlink" Target="https://www.oregonlegislature.gov/findyourlegislator/leg-districts.html" TargetMode="External"/><Relationship Id="rId10" Type="http://schemas.openxmlformats.org/officeDocument/2006/relationships/hyperlink" Target="https://www.legislature.ohio.gov/legislators/find-my-legislators" TargetMode="External"/><Relationship Id="rId31" Type="http://schemas.openxmlformats.org/officeDocument/2006/relationships/hyperlink" Target="https://mynasadata.larc.nasa.gov/latitudelongitude-finder/" TargetMode="External"/><Relationship Id="rId44" Type="http://schemas.openxmlformats.org/officeDocument/2006/relationships/hyperlink" Target="https://tools.usps.com/go/ZipLookupAction!input.action" TargetMode="External"/><Relationship Id="rId52" Type="http://schemas.openxmlformats.org/officeDocument/2006/relationships/hyperlink" Target="https://getlatlong.net/" TargetMode="External"/><Relationship Id="rId60" Type="http://schemas.openxmlformats.org/officeDocument/2006/relationships/hyperlink" Target="https://www.oregonlegislature.gov/findyourlegislator/leg-districts.html" TargetMode="External"/><Relationship Id="rId4" Type="http://schemas.openxmlformats.org/officeDocument/2006/relationships/hyperlink" Target="https://tools.usps.com/go/ZipLookupAction!input.action" TargetMode="External"/><Relationship Id="rId9" Type="http://schemas.openxmlformats.org/officeDocument/2006/relationships/hyperlink" Target="https://www.house.gov/representatives/find-your-representativ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oregonmultifamilyenergy.co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oregonmultifamilyenergy.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oregonmultifamilyenergy.com/"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oregonmultifamilyenergy.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oregonmultifamilyenergy.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oregonmultifamilyenergy.co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M47"/>
  <sheetViews>
    <sheetView tabSelected="1" topLeftCell="A4" zoomScale="80" zoomScaleNormal="80" workbookViewId="0">
      <selection activeCell="M7" sqref="M7"/>
    </sheetView>
  </sheetViews>
  <sheetFormatPr defaultColWidth="10.28515625" defaultRowHeight="15" x14ac:dyDescent="0.25"/>
  <cols>
    <col min="1" max="1" width="5.28515625" style="31" customWidth="1"/>
    <col min="2" max="13" width="17.140625" style="14" customWidth="1"/>
    <col min="14" max="16384" width="10.28515625" style="14"/>
  </cols>
  <sheetData>
    <row r="1" spans="1:13" s="25" customFormat="1" ht="65.099999999999994" customHeight="1" x14ac:dyDescent="0.25">
      <c r="B1" s="26"/>
    </row>
    <row r="2" spans="1:13" s="30" customFormat="1" ht="33.75" customHeight="1" x14ac:dyDescent="0.25">
      <c r="A2" s="28" t="s">
        <v>87</v>
      </c>
      <c r="B2" s="29"/>
    </row>
    <row r="3" spans="1:13" s="27" customFormat="1" ht="20.100000000000001" customHeight="1" x14ac:dyDescent="0.25">
      <c r="A3" s="273" t="str">
        <f>IF(Deal_Name="","",Deal_Name)</f>
        <v/>
      </c>
      <c r="B3" s="273"/>
      <c r="C3" s="273"/>
      <c r="D3" s="273"/>
      <c r="E3" s="273"/>
      <c r="F3" s="273"/>
      <c r="G3" s="273"/>
      <c r="H3" s="273"/>
      <c r="I3" s="273"/>
    </row>
    <row r="5" spans="1:13" ht="18" x14ac:dyDescent="0.25">
      <c r="B5" s="1" t="s">
        <v>88</v>
      </c>
    </row>
    <row r="6" spans="1:13" ht="138" customHeight="1" x14ac:dyDescent="0.25">
      <c r="B6" s="274" t="s">
        <v>827</v>
      </c>
      <c r="C6" s="274"/>
      <c r="D6" s="274"/>
      <c r="E6" s="274"/>
      <c r="F6" s="274"/>
      <c r="G6" s="274"/>
      <c r="H6" s="274"/>
      <c r="I6" s="274"/>
      <c r="J6" s="274"/>
      <c r="K6" s="274"/>
      <c r="L6" s="15"/>
      <c r="M6" s="64"/>
    </row>
    <row r="7" spans="1:13" s="31" customFormat="1" ht="9" customHeight="1" x14ac:dyDescent="0.25">
      <c r="B7" s="76"/>
      <c r="C7" s="76"/>
      <c r="D7" s="76"/>
      <c r="E7" s="76"/>
      <c r="F7" s="76"/>
      <c r="G7" s="76"/>
      <c r="H7" s="76"/>
      <c r="I7" s="76"/>
      <c r="J7" s="76"/>
      <c r="K7" s="76"/>
      <c r="L7" s="15"/>
      <c r="M7" s="64"/>
    </row>
    <row r="8" spans="1:13" x14ac:dyDescent="0.25">
      <c r="B8" s="3"/>
      <c r="C8" s="16"/>
      <c r="D8" s="215" t="s">
        <v>89</v>
      </c>
      <c r="E8" s="3"/>
      <c r="F8" s="3"/>
      <c r="G8" s="3"/>
      <c r="H8" s="3"/>
      <c r="I8" s="3"/>
      <c r="J8" s="3"/>
      <c r="K8" s="3"/>
      <c r="L8" s="15"/>
      <c r="M8" s="64"/>
    </row>
    <row r="9" spans="1:13" x14ac:dyDescent="0.25">
      <c r="B9" s="3"/>
      <c r="C9" s="17"/>
      <c r="D9" s="215" t="s">
        <v>90</v>
      </c>
      <c r="E9" s="3"/>
      <c r="F9" s="3"/>
      <c r="G9" s="3"/>
      <c r="H9" s="3"/>
      <c r="I9" s="3"/>
      <c r="J9" s="3"/>
      <c r="K9" s="3"/>
      <c r="L9" s="15"/>
      <c r="M9" s="64"/>
    </row>
    <row r="10" spans="1:13" x14ac:dyDescent="0.25">
      <c r="C10" s="18"/>
      <c r="D10" s="14" t="s">
        <v>91</v>
      </c>
      <c r="M10" s="64"/>
    </row>
    <row r="11" spans="1:13" x14ac:dyDescent="0.25">
      <c r="C11" s="19"/>
      <c r="D11" s="14" t="s">
        <v>92</v>
      </c>
      <c r="M11" s="64"/>
    </row>
    <row r="12" spans="1:13" x14ac:dyDescent="0.25">
      <c r="C12" s="4"/>
      <c r="D12" s="14" t="s">
        <v>93</v>
      </c>
      <c r="M12" s="64"/>
    </row>
    <row r="13" spans="1:13" x14ac:dyDescent="0.25">
      <c r="C13" s="20"/>
      <c r="D13" s="14" t="s">
        <v>94</v>
      </c>
      <c r="M13" s="64"/>
    </row>
    <row r="14" spans="1:13" x14ac:dyDescent="0.25">
      <c r="M14" s="64"/>
    </row>
    <row r="15" spans="1:13" x14ac:dyDescent="0.25">
      <c r="B15" s="21"/>
      <c r="C15" s="21"/>
      <c r="D15" s="21"/>
      <c r="E15" s="21"/>
      <c r="F15" s="21"/>
      <c r="G15" s="21"/>
      <c r="H15" s="21"/>
      <c r="I15" s="21"/>
      <c r="J15" s="21"/>
      <c r="K15" s="21"/>
      <c r="M15" s="64"/>
    </row>
    <row r="16" spans="1:13" ht="18" customHeight="1" x14ac:dyDescent="0.25">
      <c r="B16" s="1" t="s">
        <v>95</v>
      </c>
      <c r="M16" s="64"/>
    </row>
    <row r="17" spans="1:13" ht="362.25" customHeight="1" x14ac:dyDescent="0.25">
      <c r="B17" s="274" t="s">
        <v>826</v>
      </c>
      <c r="C17" s="274"/>
      <c r="D17" s="274"/>
      <c r="E17" s="274"/>
      <c r="F17" s="274"/>
      <c r="G17" s="274"/>
      <c r="H17" s="274"/>
      <c r="I17" s="274"/>
      <c r="J17" s="274"/>
      <c r="K17" s="274"/>
      <c r="L17" s="15"/>
      <c r="M17" s="64"/>
    </row>
    <row r="18" spans="1:13" x14ac:dyDescent="0.25">
      <c r="C18" s="23"/>
      <c r="D18" s="22"/>
      <c r="E18" s="24"/>
      <c r="F18" s="15"/>
      <c r="G18" s="22"/>
      <c r="H18" s="23"/>
    </row>
    <row r="19" spans="1:13" s="43" customFormat="1" ht="7.5" customHeight="1" x14ac:dyDescent="0.25">
      <c r="B19" s="44"/>
      <c r="C19" s="45"/>
      <c r="D19" s="46"/>
    </row>
    <row r="20" spans="1:13" s="30" customFormat="1" ht="33.75" customHeight="1" x14ac:dyDescent="0.25">
      <c r="A20" s="47"/>
      <c r="B20" s="29"/>
    </row>
    <row r="21" spans="1:13" ht="15" customHeight="1" x14ac:dyDescent="0.25">
      <c r="F21" s="15"/>
      <c r="G21" s="22"/>
      <c r="H21" s="23"/>
    </row>
    <row r="22" spans="1:13" ht="15" customHeight="1" x14ac:dyDescent="0.25">
      <c r="C22" s="15"/>
      <c r="D22" s="15"/>
      <c r="E22" s="15"/>
      <c r="F22" s="15"/>
      <c r="G22" s="22"/>
      <c r="H22" s="23"/>
    </row>
    <row r="23" spans="1:13" ht="15" customHeight="1" x14ac:dyDescent="0.25">
      <c r="F23" s="15"/>
      <c r="G23" s="22"/>
      <c r="H23" s="23"/>
    </row>
    <row r="24" spans="1:13" ht="15" customHeight="1" x14ac:dyDescent="0.25">
      <c r="F24" s="15"/>
      <c r="G24" s="15"/>
    </row>
    <row r="25" spans="1:13" ht="15" customHeight="1" x14ac:dyDescent="0.25">
      <c r="F25" s="15"/>
    </row>
    <row r="26" spans="1:13" ht="15" customHeight="1" x14ac:dyDescent="0.25">
      <c r="F26" s="15"/>
    </row>
    <row r="27" spans="1:13" ht="15" customHeight="1" x14ac:dyDescent="0.25">
      <c r="F27" s="15"/>
    </row>
    <row r="28" spans="1:13" ht="15" customHeight="1" x14ac:dyDescent="0.25">
      <c r="F28" s="15"/>
      <c r="G28" s="15"/>
    </row>
    <row r="29" spans="1:13" ht="15" customHeight="1" x14ac:dyDescent="0.25">
      <c r="F29" s="15"/>
      <c r="G29" s="15"/>
    </row>
    <row r="30" spans="1:13" ht="15" customHeight="1" x14ac:dyDescent="0.25">
      <c r="F30" s="15"/>
      <c r="G30" s="15"/>
    </row>
    <row r="31" spans="1:13" ht="15" customHeight="1" x14ac:dyDescent="0.25">
      <c r="F31" s="15"/>
      <c r="G31" s="15"/>
    </row>
    <row r="32" spans="1:13" ht="15" customHeight="1" x14ac:dyDescent="0.25">
      <c r="F32" s="15"/>
      <c r="G32" s="15"/>
    </row>
    <row r="33" spans="6:11" ht="15" customHeight="1" x14ac:dyDescent="0.25">
      <c r="F33" s="15"/>
      <c r="G33" s="15"/>
    </row>
    <row r="34" spans="6:11" ht="15" customHeight="1" x14ac:dyDescent="0.25">
      <c r="F34" s="15"/>
    </row>
    <row r="35" spans="6:11" ht="15" customHeight="1" x14ac:dyDescent="0.25">
      <c r="F35" s="15"/>
    </row>
    <row r="36" spans="6:11" ht="15" customHeight="1" x14ac:dyDescent="0.25">
      <c r="F36" s="15"/>
    </row>
    <row r="37" spans="6:11" ht="15" customHeight="1" x14ac:dyDescent="0.25">
      <c r="F37" s="15"/>
    </row>
    <row r="38" spans="6:11" ht="15" customHeight="1" x14ac:dyDescent="0.25">
      <c r="F38" s="15"/>
    </row>
    <row r="39" spans="6:11" ht="15" customHeight="1" x14ac:dyDescent="0.25">
      <c r="F39" s="15"/>
    </row>
    <row r="40" spans="6:11" ht="15" customHeight="1" x14ac:dyDescent="0.25">
      <c r="F40" s="15"/>
    </row>
    <row r="41" spans="6:11" ht="15" customHeight="1" x14ac:dyDescent="0.25">
      <c r="F41" s="15"/>
    </row>
    <row r="42" spans="6:11" ht="15" customHeight="1" x14ac:dyDescent="0.25">
      <c r="F42" s="15"/>
    </row>
    <row r="43" spans="6:11" ht="15" customHeight="1" x14ac:dyDescent="0.25">
      <c r="F43" s="15"/>
    </row>
    <row r="44" spans="6:11" ht="15" customHeight="1" x14ac:dyDescent="0.25">
      <c r="G44" s="15"/>
    </row>
    <row r="45" spans="6:11" ht="15" customHeight="1" x14ac:dyDescent="0.25">
      <c r="F45" s="15"/>
      <c r="G45" s="15"/>
      <c r="H45" s="15"/>
      <c r="I45" s="15"/>
      <c r="J45" s="15"/>
      <c r="K45" s="15"/>
    </row>
    <row r="46" spans="6:11" ht="15" customHeight="1" x14ac:dyDescent="0.25"/>
    <row r="47" spans="6:11" ht="15" customHeight="1" x14ac:dyDescent="0.25"/>
  </sheetData>
  <sheetProtection formatColumns="0" formatRows="0"/>
  <mergeCells count="3">
    <mergeCell ref="A3:I3"/>
    <mergeCell ref="B17:K17"/>
    <mergeCell ref="B6:K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G240"/>
  <sheetViews>
    <sheetView topLeftCell="C193" zoomScale="80" zoomScaleNormal="80" workbookViewId="0">
      <selection activeCell="G220" sqref="G220"/>
    </sheetView>
  </sheetViews>
  <sheetFormatPr defaultColWidth="9.140625" defaultRowHeight="15" x14ac:dyDescent="0.25"/>
  <cols>
    <col min="1" max="1" width="41.28515625" style="58" customWidth="1"/>
    <col min="2" max="2" width="44.5703125" style="58" bestFit="1" customWidth="1"/>
    <col min="3" max="3" width="45.140625" style="58" customWidth="1"/>
    <col min="4" max="4" width="45.7109375" style="58" customWidth="1"/>
    <col min="5" max="5" width="31.42578125" style="58" customWidth="1"/>
    <col min="6" max="6" width="19.5703125" style="58" bestFit="1" customWidth="1"/>
    <col min="7" max="7" width="106.42578125" style="58" customWidth="1"/>
    <col min="8" max="16384" width="9.140625" style="58"/>
  </cols>
  <sheetData>
    <row r="1" spans="1:6" s="62" customFormat="1" ht="15.75" thickBot="1" x14ac:dyDescent="0.3">
      <c r="A1" s="62" t="s">
        <v>120</v>
      </c>
      <c r="B1" s="62" t="s">
        <v>121</v>
      </c>
      <c r="C1" s="62" t="s">
        <v>122</v>
      </c>
      <c r="D1" s="62" t="s">
        <v>123</v>
      </c>
      <c r="E1" s="62" t="s">
        <v>465</v>
      </c>
      <c r="F1" s="62" t="s">
        <v>124</v>
      </c>
    </row>
    <row r="2" spans="1:6" ht="15.75" thickTop="1" x14ac:dyDescent="0.25">
      <c r="A2" s="58" t="s">
        <v>463</v>
      </c>
      <c r="B2" s="58" t="s">
        <v>705</v>
      </c>
      <c r="C2" s="58" t="s">
        <v>8</v>
      </c>
      <c r="D2" s="58" t="s">
        <v>125</v>
      </c>
      <c r="E2" s="58" t="s">
        <v>466</v>
      </c>
    </row>
    <row r="3" spans="1:6" x14ac:dyDescent="0.25">
      <c r="A3" s="58" t="s">
        <v>463</v>
      </c>
      <c r="B3" s="58" t="s">
        <v>705</v>
      </c>
      <c r="C3" s="58" t="s">
        <v>464</v>
      </c>
      <c r="D3" s="58" t="s">
        <v>126</v>
      </c>
      <c r="E3" s="58" t="s">
        <v>467</v>
      </c>
    </row>
    <row r="4" spans="1:6" x14ac:dyDescent="0.25">
      <c r="A4" s="58" t="s">
        <v>463</v>
      </c>
      <c r="B4" s="58" t="s">
        <v>705</v>
      </c>
      <c r="C4" s="58" t="s">
        <v>702</v>
      </c>
      <c r="D4" s="58" t="s">
        <v>702</v>
      </c>
      <c r="E4" s="58" t="s">
        <v>704</v>
      </c>
    </row>
    <row r="5" spans="1:6" x14ac:dyDescent="0.25">
      <c r="A5" s="58" t="s">
        <v>463</v>
      </c>
      <c r="B5" s="58" t="s">
        <v>1</v>
      </c>
      <c r="C5" s="58" t="s">
        <v>17</v>
      </c>
      <c r="D5" s="58" t="s">
        <v>17</v>
      </c>
      <c r="E5" s="58" t="s">
        <v>495</v>
      </c>
      <c r="F5" s="58">
        <f>'Project Input'!D2</f>
        <v>0</v>
      </c>
    </row>
    <row r="6" spans="1:6" x14ac:dyDescent="0.25">
      <c r="A6" s="58" t="s">
        <v>463</v>
      </c>
      <c r="B6" s="58" t="s">
        <v>1</v>
      </c>
      <c r="C6" s="58" t="s">
        <v>19</v>
      </c>
      <c r="D6" s="58" t="s">
        <v>19</v>
      </c>
      <c r="E6" s="58" t="s">
        <v>496</v>
      </c>
      <c r="F6" s="58">
        <f>'Project Input'!D23</f>
        <v>0</v>
      </c>
    </row>
    <row r="7" spans="1:6" x14ac:dyDescent="0.25">
      <c r="A7" s="58" t="s">
        <v>463</v>
      </c>
      <c r="B7" s="58" t="s">
        <v>1</v>
      </c>
      <c r="C7" s="58" t="s">
        <v>20</v>
      </c>
      <c r="D7" s="58" t="s">
        <v>20</v>
      </c>
      <c r="E7" s="58" t="s">
        <v>497</v>
      </c>
      <c r="F7" s="63">
        <f>'Project Input'!D24</f>
        <v>0</v>
      </c>
    </row>
    <row r="8" spans="1:6" x14ac:dyDescent="0.25">
      <c r="A8" s="58" t="s">
        <v>463</v>
      </c>
      <c r="B8" s="58" t="s">
        <v>1</v>
      </c>
      <c r="C8" s="58" t="s">
        <v>21</v>
      </c>
      <c r="D8" s="58" t="s">
        <v>21</v>
      </c>
      <c r="E8" s="58" t="s">
        <v>498</v>
      </c>
      <c r="F8" s="63">
        <f>'Project Input'!D25</f>
        <v>0</v>
      </c>
    </row>
    <row r="9" spans="1:6" x14ac:dyDescent="0.25">
      <c r="A9" s="58" t="s">
        <v>463</v>
      </c>
      <c r="B9" s="58" t="s">
        <v>1</v>
      </c>
      <c r="C9" s="58" t="s">
        <v>22</v>
      </c>
      <c r="D9" s="58" t="s">
        <v>22</v>
      </c>
      <c r="E9" s="58" t="s">
        <v>499</v>
      </c>
      <c r="F9" s="63">
        <f>'Project Input'!D26</f>
        <v>0</v>
      </c>
    </row>
    <row r="10" spans="1:6" x14ac:dyDescent="0.25">
      <c r="A10" s="58" t="s">
        <v>463</v>
      </c>
      <c r="B10" s="58" t="s">
        <v>1</v>
      </c>
      <c r="C10" s="58" t="s">
        <v>23</v>
      </c>
      <c r="D10" s="59" t="s">
        <v>501</v>
      </c>
      <c r="E10" s="59" t="s">
        <v>500</v>
      </c>
      <c r="F10" s="58">
        <f>'Project Input'!D27</f>
        <v>0</v>
      </c>
    </row>
    <row r="11" spans="1:6" x14ac:dyDescent="0.25">
      <c r="A11" s="58" t="s">
        <v>463</v>
      </c>
      <c r="B11" s="58" t="s">
        <v>1</v>
      </c>
      <c r="C11" s="58" t="s">
        <v>679</v>
      </c>
    </row>
    <row r="12" spans="1:6" x14ac:dyDescent="0.25">
      <c r="A12" s="58" t="s">
        <v>463</v>
      </c>
      <c r="B12" s="58" t="s">
        <v>1</v>
      </c>
      <c r="C12" s="58" t="s">
        <v>14</v>
      </c>
      <c r="D12" s="58" t="s">
        <v>502</v>
      </c>
      <c r="F12" s="58" t="str">
        <f>IF(ScatteredSite="","",IF(ScatteredSite=TRUE,FALSE,TRUE))</f>
        <v/>
      </c>
    </row>
    <row r="13" spans="1:6" x14ac:dyDescent="0.25">
      <c r="A13" s="58" t="s">
        <v>463</v>
      </c>
      <c r="B13" s="58" t="s">
        <v>1</v>
      </c>
      <c r="C13" s="58" t="s">
        <v>16</v>
      </c>
      <c r="F13" s="58" t="str">
        <f>IF(If_yes__how_many?="","",If_yes__how_many?)</f>
        <v/>
      </c>
    </row>
    <row r="14" spans="1:6" x14ac:dyDescent="0.25">
      <c r="A14" s="58" t="s">
        <v>463</v>
      </c>
      <c r="B14" s="58" t="s">
        <v>503</v>
      </c>
      <c r="C14" s="58" t="s">
        <v>9</v>
      </c>
      <c r="D14" s="58" t="s">
        <v>127</v>
      </c>
      <c r="F14" s="58">
        <f>IF(ScatteredSite=TRUE,"",SiteA_Address__be_specific)</f>
        <v>0</v>
      </c>
    </row>
    <row r="15" spans="1:6" x14ac:dyDescent="0.25">
      <c r="A15" s="58" t="s">
        <v>463</v>
      </c>
      <c r="B15" s="58" t="s">
        <v>503</v>
      </c>
      <c r="C15" s="58" t="s">
        <v>10</v>
      </c>
      <c r="D15" s="58" t="s">
        <v>26</v>
      </c>
      <c r="F15" s="58">
        <f>IF(ScatteredSite=TRUE,"",SiteA_City_or_Township)</f>
        <v>0</v>
      </c>
    </row>
    <row r="16" spans="1:6" x14ac:dyDescent="0.25">
      <c r="A16" s="58" t="s">
        <v>463</v>
      </c>
      <c r="B16" s="58" t="s">
        <v>503</v>
      </c>
      <c r="C16" s="58" t="s">
        <v>12</v>
      </c>
      <c r="D16" s="58" t="s">
        <v>128</v>
      </c>
      <c r="F16" s="58">
        <f>IF(ScatteredSite=TRUE,"",SiteA_Zip_Code__First_5_Digits)</f>
        <v>0</v>
      </c>
    </row>
    <row r="17" spans="1:6" x14ac:dyDescent="0.25">
      <c r="A17" s="58" t="s">
        <v>463</v>
      </c>
      <c r="B17" s="58" t="s">
        <v>503</v>
      </c>
      <c r="C17" s="58" t="s">
        <v>15</v>
      </c>
      <c r="D17" s="58" t="s">
        <v>504</v>
      </c>
      <c r="F17" s="63">
        <f>IF(ScatteredSite=TRUE,"",SiteA_County)</f>
        <v>0</v>
      </c>
    </row>
    <row r="18" spans="1:6" x14ac:dyDescent="0.25">
      <c r="A18" s="58" t="s">
        <v>463</v>
      </c>
      <c r="B18" s="58" t="s">
        <v>505</v>
      </c>
      <c r="C18" s="58" t="s">
        <v>9</v>
      </c>
      <c r="D18" s="58" t="s">
        <v>127</v>
      </c>
      <c r="F18" s="58" t="str">
        <f>IF(If_yes__how_many?&lt;2,"",IF(SiteCount&gt;=2,SiteB_Address,""))</f>
        <v/>
      </c>
    </row>
    <row r="19" spans="1:6" x14ac:dyDescent="0.25">
      <c r="A19" s="58" t="s">
        <v>463</v>
      </c>
      <c r="B19" s="58" t="s">
        <v>505</v>
      </c>
      <c r="C19" s="58" t="s">
        <v>10</v>
      </c>
      <c r="D19" s="58" t="s">
        <v>26</v>
      </c>
      <c r="F19" s="58" t="str">
        <f>IF(If_yes__how_many?&lt;2,"",IF(If_yes__how_many?&gt;=2,SiteB_City,""))</f>
        <v/>
      </c>
    </row>
    <row r="20" spans="1:6" x14ac:dyDescent="0.25">
      <c r="A20" s="58" t="s">
        <v>463</v>
      </c>
      <c r="B20" s="58" t="s">
        <v>505</v>
      </c>
      <c r="C20" s="58" t="s">
        <v>12</v>
      </c>
      <c r="D20" s="58" t="s">
        <v>128</v>
      </c>
      <c r="F20" s="58" t="str">
        <f>IF(If_yes__how_many?&lt;2,"",IF(If_yes__how_many?&gt;=2,SiteB_Zip,""))</f>
        <v/>
      </c>
    </row>
    <row r="21" spans="1:6" x14ac:dyDescent="0.25">
      <c r="A21" s="58" t="s">
        <v>463</v>
      </c>
      <c r="B21" s="58" t="s">
        <v>505</v>
      </c>
      <c r="C21" s="58" t="s">
        <v>15</v>
      </c>
      <c r="D21" s="58" t="s">
        <v>504</v>
      </c>
      <c r="F21" s="60" t="str">
        <f>IF(If_yes__how_many?&lt;2,"",IF(If_yes__how_many?&gt;=2,SiteB_County,""))</f>
        <v/>
      </c>
    </row>
    <row r="22" spans="1:6" x14ac:dyDescent="0.25">
      <c r="A22" s="58" t="s">
        <v>463</v>
      </c>
      <c r="B22" s="58" t="s">
        <v>506</v>
      </c>
      <c r="C22" s="58" t="s">
        <v>9</v>
      </c>
      <c r="D22" s="58" t="s">
        <v>127</v>
      </c>
      <c r="F22" s="58" t="str">
        <f>IF(If_yes__how_many?&lt;3,"",IF(If_yes__how_many?&gt;=3,SiteC_Address,""))</f>
        <v/>
      </c>
    </row>
    <row r="23" spans="1:6" x14ac:dyDescent="0.25">
      <c r="A23" s="58" t="s">
        <v>463</v>
      </c>
      <c r="B23" s="58" t="s">
        <v>506</v>
      </c>
      <c r="C23" s="58" t="s">
        <v>10</v>
      </c>
      <c r="D23" s="58" t="s">
        <v>26</v>
      </c>
      <c r="F23" s="58" t="str">
        <f>IF(If_yes__how_many?&lt;3,"",IF(If_yes__how_many?&gt;=3,SiteC_City,""))</f>
        <v/>
      </c>
    </row>
    <row r="24" spans="1:6" x14ac:dyDescent="0.25">
      <c r="A24" s="58" t="s">
        <v>463</v>
      </c>
      <c r="B24" s="58" t="s">
        <v>506</v>
      </c>
      <c r="C24" s="58" t="s">
        <v>12</v>
      </c>
      <c r="D24" s="58" t="s">
        <v>128</v>
      </c>
      <c r="F24" s="58" t="str">
        <f>IF(If_yes__how_many?&lt;3,"",IF(If_yes__how_many?&gt;=3,SiteC_Zip,""))</f>
        <v/>
      </c>
    </row>
    <row r="25" spans="1:6" x14ac:dyDescent="0.25">
      <c r="A25" s="58" t="s">
        <v>463</v>
      </c>
      <c r="B25" s="58" t="s">
        <v>506</v>
      </c>
      <c r="C25" s="58" t="s">
        <v>15</v>
      </c>
      <c r="D25" s="58" t="s">
        <v>504</v>
      </c>
      <c r="F25" s="60" t="str">
        <f>IF(If_yes__how_many?&lt;3,"",IF(If_yes__how_many?&gt;=3,SiteC_County,""))</f>
        <v/>
      </c>
    </row>
    <row r="26" spans="1:6" x14ac:dyDescent="0.25">
      <c r="A26" s="58" t="s">
        <v>463</v>
      </c>
      <c r="B26" s="58" t="s">
        <v>507</v>
      </c>
      <c r="C26" s="58" t="s">
        <v>9</v>
      </c>
      <c r="D26" s="58" t="s">
        <v>127</v>
      </c>
      <c r="F26" s="58" t="str">
        <f>IF(If_yes__how_many?&lt;4,"",IF(If_yes__how_many?&gt;=4,SiteD_Address,""))</f>
        <v/>
      </c>
    </row>
    <row r="27" spans="1:6" x14ac:dyDescent="0.25">
      <c r="A27" s="58" t="s">
        <v>463</v>
      </c>
      <c r="B27" s="58" t="s">
        <v>507</v>
      </c>
      <c r="C27" s="58" t="s">
        <v>10</v>
      </c>
      <c r="D27" s="58" t="s">
        <v>26</v>
      </c>
      <c r="F27" s="58" t="str">
        <f>IF(If_yes__how_many?&lt;4,"",IF(If_yes__how_many?&gt;=4,SiteD_City,""))</f>
        <v/>
      </c>
    </row>
    <row r="28" spans="1:6" x14ac:dyDescent="0.25">
      <c r="A28" s="58" t="s">
        <v>463</v>
      </c>
      <c r="B28" s="58" t="s">
        <v>507</v>
      </c>
      <c r="C28" s="58" t="s">
        <v>12</v>
      </c>
      <c r="D28" s="58" t="s">
        <v>128</v>
      </c>
      <c r="F28" s="58" t="str">
        <f>IF(If_yes__how_many?&lt;4,"",IF(If_yes__how_many?&gt;=4,SiteD_Zip,""))</f>
        <v/>
      </c>
    </row>
    <row r="29" spans="1:6" x14ac:dyDescent="0.25">
      <c r="A29" s="58" t="s">
        <v>463</v>
      </c>
      <c r="B29" s="58" t="s">
        <v>507</v>
      </c>
      <c r="C29" s="58" t="s">
        <v>15</v>
      </c>
      <c r="D29" s="58" t="s">
        <v>504</v>
      </c>
      <c r="F29" s="60" t="str">
        <f>IF(If_yes__how_many?&lt;4,"",IF(If_yes__how_many?&gt;=4,SiteD_County,""))</f>
        <v/>
      </c>
    </row>
    <row r="30" spans="1:6" x14ac:dyDescent="0.25">
      <c r="A30" s="58" t="s">
        <v>463</v>
      </c>
      <c r="B30" s="58" t="s">
        <v>508</v>
      </c>
      <c r="C30" s="58" t="s">
        <v>9</v>
      </c>
      <c r="D30" s="58" t="s">
        <v>127</v>
      </c>
      <c r="F30" s="58" t="str">
        <f>IF(If_yes__how_many?&lt;5,"",IF(If_yes__how_many?&gt;=5,SiteE_Address,""))</f>
        <v/>
      </c>
    </row>
    <row r="31" spans="1:6" x14ac:dyDescent="0.25">
      <c r="A31" s="58" t="s">
        <v>463</v>
      </c>
      <c r="B31" s="58" t="s">
        <v>508</v>
      </c>
      <c r="C31" s="58" t="s">
        <v>10</v>
      </c>
      <c r="D31" s="58" t="s">
        <v>26</v>
      </c>
      <c r="F31" s="58" t="str">
        <f>IF(If_yes__how_many?&lt;5,"",IF(If_yes__how_many?&gt;=5,SiteE_City,""))</f>
        <v/>
      </c>
    </row>
    <row r="32" spans="1:6" x14ac:dyDescent="0.25">
      <c r="A32" s="58" t="s">
        <v>463</v>
      </c>
      <c r="B32" s="58" t="s">
        <v>508</v>
      </c>
      <c r="C32" s="58" t="s">
        <v>12</v>
      </c>
      <c r="D32" s="58" t="s">
        <v>128</v>
      </c>
      <c r="F32" s="58" t="str">
        <f>IF(If_yes__how_many?&lt;5,"",IF(If_yes__how_many?&gt;=5,SiteE_Zip,""))</f>
        <v/>
      </c>
    </row>
    <row r="33" spans="1:6" x14ac:dyDescent="0.25">
      <c r="A33" s="58" t="s">
        <v>463</v>
      </c>
      <c r="B33" s="58" t="s">
        <v>508</v>
      </c>
      <c r="C33" s="58" t="s">
        <v>15</v>
      </c>
      <c r="D33" s="58" t="s">
        <v>504</v>
      </c>
      <c r="F33" s="60" t="str">
        <f>IF(If_yes__how_many?&lt;5,"",IF(If_yes__how_many?&gt;=5,SiteE_County,""))</f>
        <v/>
      </c>
    </row>
    <row r="34" spans="1:6" x14ac:dyDescent="0.25">
      <c r="A34" s="58" t="s">
        <v>463</v>
      </c>
      <c r="B34" s="58" t="s">
        <v>509</v>
      </c>
      <c r="C34" s="58" t="s">
        <v>9</v>
      </c>
      <c r="D34" s="58" t="s">
        <v>127</v>
      </c>
      <c r="F34" s="58" t="str">
        <f>IF(If_yes__how_many?&lt;6,"",IF(If_yes__how_many?&gt;=6,SiteF_Address,""))</f>
        <v/>
      </c>
    </row>
    <row r="35" spans="1:6" x14ac:dyDescent="0.25">
      <c r="A35" s="58" t="s">
        <v>463</v>
      </c>
      <c r="B35" s="58" t="s">
        <v>509</v>
      </c>
      <c r="C35" s="58" t="s">
        <v>10</v>
      </c>
      <c r="D35" s="58" t="s">
        <v>26</v>
      </c>
      <c r="F35" s="58" t="str">
        <f>IF(If_yes__how_many?&lt;6,"",IF(If_yes__how_many?&gt;=6,SiteF_City,""))</f>
        <v/>
      </c>
    </row>
    <row r="36" spans="1:6" x14ac:dyDescent="0.25">
      <c r="A36" s="58" t="s">
        <v>463</v>
      </c>
      <c r="B36" s="58" t="s">
        <v>509</v>
      </c>
      <c r="C36" s="58" t="s">
        <v>12</v>
      </c>
      <c r="D36" s="58" t="s">
        <v>128</v>
      </c>
      <c r="F36" s="58" t="str">
        <f>IF(If_yes__how_many?&lt;6,"",IF(If_yes__how_many?&gt;=6,SiteF_Zip,""))</f>
        <v/>
      </c>
    </row>
    <row r="37" spans="1:6" s="243" customFormat="1" ht="15.75" thickBot="1" x14ac:dyDescent="0.3">
      <c r="A37" s="243" t="s">
        <v>463</v>
      </c>
      <c r="B37" s="243" t="s">
        <v>509</v>
      </c>
      <c r="C37" s="243" t="s">
        <v>15</v>
      </c>
      <c r="D37" s="243" t="s">
        <v>504</v>
      </c>
      <c r="F37" s="244" t="str">
        <f>IF(If_yes__how_many?&lt;6,"",IF(If_yes__how_many?&gt;=6,SiteF_County,""))</f>
        <v/>
      </c>
    </row>
    <row r="38" spans="1:6" x14ac:dyDescent="0.25">
      <c r="A38" s="58" t="s">
        <v>514</v>
      </c>
      <c r="B38" s="58" t="s">
        <v>46</v>
      </c>
      <c r="C38" s="58" t="s">
        <v>516</v>
      </c>
      <c r="E38" s="58" t="s">
        <v>516</v>
      </c>
      <c r="F38" s="60" t="str">
        <f>IF(Developer_Name="","","Company")</f>
        <v/>
      </c>
    </row>
    <row r="39" spans="1:6" x14ac:dyDescent="0.25">
      <c r="A39" s="58" t="s">
        <v>514</v>
      </c>
      <c r="B39" s="58" t="s">
        <v>46</v>
      </c>
      <c r="C39" s="58" t="s">
        <v>515</v>
      </c>
      <c r="E39" s="58" t="s">
        <v>515</v>
      </c>
      <c r="F39" s="60" t="str">
        <f>IF(Developer_Name="","","Developer")</f>
        <v/>
      </c>
    </row>
    <row r="40" spans="1:6" x14ac:dyDescent="0.25">
      <c r="A40" s="58" t="s">
        <v>514</v>
      </c>
      <c r="B40" s="58" t="s">
        <v>46</v>
      </c>
      <c r="C40" s="61" t="s">
        <v>48</v>
      </c>
      <c r="E40" s="58" t="s">
        <v>551</v>
      </c>
      <c r="F40" s="58" t="str">
        <f>IF(Developer_Name="","",Developer_Name)</f>
        <v/>
      </c>
    </row>
    <row r="41" spans="1:6" x14ac:dyDescent="0.25">
      <c r="A41" s="58" t="s">
        <v>514</v>
      </c>
      <c r="B41" s="58" t="s">
        <v>46</v>
      </c>
      <c r="C41" s="61" t="s">
        <v>25</v>
      </c>
      <c r="E41" s="58" t="s">
        <v>552</v>
      </c>
      <c r="F41" s="58" t="str">
        <f>IF(Developer_Address="","",Developer_Address)</f>
        <v/>
      </c>
    </row>
    <row r="42" spans="1:6" x14ac:dyDescent="0.25">
      <c r="A42" s="58" t="s">
        <v>514</v>
      </c>
      <c r="B42" s="58" t="s">
        <v>46</v>
      </c>
      <c r="C42" s="61" t="s">
        <v>26</v>
      </c>
      <c r="E42" s="58" t="s">
        <v>26</v>
      </c>
      <c r="F42" s="58" t="str">
        <f>IF(Developer_City="","",Developer_City)</f>
        <v/>
      </c>
    </row>
    <row r="43" spans="1:6" x14ac:dyDescent="0.25">
      <c r="A43" s="58" t="s">
        <v>514</v>
      </c>
      <c r="B43" s="58" t="s">
        <v>46</v>
      </c>
      <c r="C43" s="61" t="s">
        <v>15</v>
      </c>
      <c r="E43" s="58" t="s">
        <v>15</v>
      </c>
      <c r="F43" s="58" t="str">
        <f>IF(Developer_County="","",Developer_County)</f>
        <v/>
      </c>
    </row>
    <row r="44" spans="1:6" x14ac:dyDescent="0.25">
      <c r="A44" s="58" t="s">
        <v>514</v>
      </c>
      <c r="B44" s="58" t="s">
        <v>46</v>
      </c>
      <c r="C44" s="61" t="s">
        <v>27</v>
      </c>
      <c r="E44" s="58" t="s">
        <v>27</v>
      </c>
      <c r="F44" s="60" t="str">
        <f>IF(Developer_State="","",Developer_State)</f>
        <v/>
      </c>
    </row>
    <row r="45" spans="1:6" x14ac:dyDescent="0.25">
      <c r="A45" s="58" t="s">
        <v>514</v>
      </c>
      <c r="B45" s="58" t="s">
        <v>46</v>
      </c>
      <c r="C45" s="61" t="s">
        <v>54</v>
      </c>
      <c r="E45" s="58" t="s">
        <v>128</v>
      </c>
      <c r="F45" s="58" t="str">
        <f>IF(Developer_Zip="","",Developer_Zip)</f>
        <v/>
      </c>
    </row>
    <row r="46" spans="1:6" x14ac:dyDescent="0.25">
      <c r="A46" s="58" t="s">
        <v>514</v>
      </c>
      <c r="B46" s="58" t="s">
        <v>46</v>
      </c>
      <c r="C46" s="61" t="s">
        <v>55</v>
      </c>
      <c r="E46" s="58" t="s">
        <v>604</v>
      </c>
    </row>
    <row r="47" spans="1:6" x14ac:dyDescent="0.25">
      <c r="A47" s="58" t="s">
        <v>514</v>
      </c>
      <c r="B47" s="58" t="s">
        <v>46</v>
      </c>
      <c r="C47" s="61" t="s">
        <v>56</v>
      </c>
      <c r="E47" s="58" t="s">
        <v>605</v>
      </c>
      <c r="F47" s="58" t="str">
        <f>IF(Developer_Telephone="","",Developer_Telephone)</f>
        <v/>
      </c>
    </row>
    <row r="48" spans="1:6" s="246" customFormat="1" x14ac:dyDescent="0.25">
      <c r="A48" s="246" t="s">
        <v>514</v>
      </c>
      <c r="B48" s="246" t="s">
        <v>46</v>
      </c>
      <c r="C48" s="247" t="s">
        <v>60</v>
      </c>
      <c r="E48" s="246" t="s">
        <v>606</v>
      </c>
      <c r="F48" s="246" t="str">
        <f>IF(Developer_Email="","",Developer_Email)</f>
        <v/>
      </c>
    </row>
    <row r="49" spans="1:6" x14ac:dyDescent="0.25">
      <c r="A49" s="58" t="s">
        <v>514</v>
      </c>
      <c r="B49" s="58" t="s">
        <v>47</v>
      </c>
      <c r="C49" s="58" t="s">
        <v>516</v>
      </c>
      <c r="E49" s="58" t="s">
        <v>516</v>
      </c>
      <c r="F49" s="60" t="str">
        <f>IF(CoDeveloper_Name="","","Company")</f>
        <v/>
      </c>
    </row>
    <row r="50" spans="1:6" x14ac:dyDescent="0.25">
      <c r="A50" s="58" t="s">
        <v>514</v>
      </c>
      <c r="B50" s="58" t="s">
        <v>47</v>
      </c>
      <c r="C50" s="58" t="s">
        <v>515</v>
      </c>
      <c r="E50" s="58" t="s">
        <v>515</v>
      </c>
      <c r="F50" s="60" t="str">
        <f>IF(CoDeveloper_Name="","","Co-Developer")</f>
        <v/>
      </c>
    </row>
    <row r="51" spans="1:6" x14ac:dyDescent="0.25">
      <c r="A51" s="58" t="s">
        <v>514</v>
      </c>
      <c r="B51" s="58" t="s">
        <v>47</v>
      </c>
      <c r="C51" s="61" t="s">
        <v>48</v>
      </c>
      <c r="E51" s="58" t="s">
        <v>551</v>
      </c>
      <c r="F51" s="58" t="str">
        <f>IF(CoDeveloper_Name="","",CoDeveloper_Name)</f>
        <v/>
      </c>
    </row>
    <row r="52" spans="1:6" x14ac:dyDescent="0.25">
      <c r="A52" s="58" t="s">
        <v>514</v>
      </c>
      <c r="B52" s="58" t="s">
        <v>47</v>
      </c>
      <c r="C52" s="61" t="s">
        <v>25</v>
      </c>
      <c r="E52" s="58" t="s">
        <v>552</v>
      </c>
      <c r="F52" s="58" t="str">
        <f>IF(CoDeveloper_Address="","",CoDeveloper_Address)</f>
        <v/>
      </c>
    </row>
    <row r="53" spans="1:6" x14ac:dyDescent="0.25">
      <c r="A53" s="58" t="s">
        <v>514</v>
      </c>
      <c r="B53" s="58" t="s">
        <v>47</v>
      </c>
      <c r="C53" s="61" t="s">
        <v>26</v>
      </c>
      <c r="E53" s="58" t="s">
        <v>26</v>
      </c>
      <c r="F53" s="58" t="str">
        <f>IF(CoDeveloper_City="","",CoDeveloper_City)</f>
        <v/>
      </c>
    </row>
    <row r="54" spans="1:6" x14ac:dyDescent="0.25">
      <c r="A54" s="58" t="s">
        <v>514</v>
      </c>
      <c r="B54" s="58" t="s">
        <v>47</v>
      </c>
      <c r="C54" s="61" t="s">
        <v>15</v>
      </c>
      <c r="E54" s="58" t="s">
        <v>15</v>
      </c>
      <c r="F54" s="58" t="str">
        <f>IF(CoDeveloper_County="","",CoDeveloper_County)</f>
        <v/>
      </c>
    </row>
    <row r="55" spans="1:6" x14ac:dyDescent="0.25">
      <c r="A55" s="58" t="s">
        <v>514</v>
      </c>
      <c r="B55" s="58" t="s">
        <v>47</v>
      </c>
      <c r="C55" s="61" t="s">
        <v>27</v>
      </c>
      <c r="E55" s="58" t="s">
        <v>27</v>
      </c>
      <c r="F55" s="60" t="str">
        <f>IF(CoDeveloper_State="","",CoDeveloper_State)</f>
        <v/>
      </c>
    </row>
    <row r="56" spans="1:6" x14ac:dyDescent="0.25">
      <c r="A56" s="58" t="s">
        <v>514</v>
      </c>
      <c r="B56" s="58" t="s">
        <v>47</v>
      </c>
      <c r="C56" s="61" t="s">
        <v>54</v>
      </c>
      <c r="E56" s="58" t="s">
        <v>128</v>
      </c>
      <c r="F56" s="58" t="str">
        <f>IF(CoDeveloper_Zip="","",CoDeveloper_Zip)</f>
        <v/>
      </c>
    </row>
    <row r="57" spans="1:6" x14ac:dyDescent="0.25">
      <c r="A57" s="58" t="s">
        <v>514</v>
      </c>
      <c r="B57" s="58" t="s">
        <v>47</v>
      </c>
      <c r="C57" s="61" t="s">
        <v>55</v>
      </c>
      <c r="E57" s="58" t="s">
        <v>604</v>
      </c>
    </row>
    <row r="58" spans="1:6" x14ac:dyDescent="0.25">
      <c r="A58" s="58" t="s">
        <v>514</v>
      </c>
      <c r="B58" s="58" t="s">
        <v>47</v>
      </c>
      <c r="C58" s="61" t="s">
        <v>56</v>
      </c>
      <c r="E58" s="58" t="s">
        <v>605</v>
      </c>
      <c r="F58" s="58" t="str">
        <f>IF(CoDeveloper_Telephone="","",CoDeveloper_Telephone)</f>
        <v/>
      </c>
    </row>
    <row r="59" spans="1:6" s="246" customFormat="1" x14ac:dyDescent="0.25">
      <c r="A59" s="246" t="s">
        <v>514</v>
      </c>
      <c r="B59" s="246" t="s">
        <v>47</v>
      </c>
      <c r="C59" s="247" t="s">
        <v>60</v>
      </c>
      <c r="E59" s="246" t="s">
        <v>606</v>
      </c>
      <c r="F59" s="246" t="str">
        <f>IF(CoDeveloper_Email="","",CoDeveloper_Email)</f>
        <v/>
      </c>
    </row>
    <row r="60" spans="1:6" x14ac:dyDescent="0.25">
      <c r="A60" s="58" t="s">
        <v>514</v>
      </c>
      <c r="B60" s="58" t="s">
        <v>64</v>
      </c>
      <c r="C60" s="58" t="s">
        <v>516</v>
      </c>
      <c r="E60" s="58" t="s">
        <v>516</v>
      </c>
      <c r="F60" s="60" t="str">
        <f>IF(Consultant_Name="","","Company")</f>
        <v/>
      </c>
    </row>
    <row r="61" spans="1:6" x14ac:dyDescent="0.25">
      <c r="A61" s="58" t="s">
        <v>514</v>
      </c>
      <c r="B61" s="58" t="s">
        <v>64</v>
      </c>
      <c r="C61" s="58" t="s">
        <v>515</v>
      </c>
      <c r="E61" s="58" t="s">
        <v>515</v>
      </c>
      <c r="F61" s="60" t="str">
        <f>IF(Consultant_Name="","","Consultant")</f>
        <v/>
      </c>
    </row>
    <row r="62" spans="1:6" x14ac:dyDescent="0.25">
      <c r="A62" s="58" t="s">
        <v>514</v>
      </c>
      <c r="B62" s="58" t="s">
        <v>64</v>
      </c>
      <c r="C62" s="61" t="s">
        <v>65</v>
      </c>
      <c r="E62" s="58" t="s">
        <v>551</v>
      </c>
      <c r="F62" s="58" t="str">
        <f>IF(Consultant_Name="","",Consultant_Name)</f>
        <v/>
      </c>
    </row>
    <row r="63" spans="1:6" x14ac:dyDescent="0.25">
      <c r="A63" s="58" t="s">
        <v>514</v>
      </c>
      <c r="B63" s="58" t="s">
        <v>64</v>
      </c>
      <c r="C63" s="61" t="s">
        <v>25</v>
      </c>
      <c r="E63" s="58" t="s">
        <v>552</v>
      </c>
      <c r="F63" s="58" t="str">
        <f>IF(Consultant_Address="","",Consultant_Address)</f>
        <v/>
      </c>
    </row>
    <row r="64" spans="1:6" x14ac:dyDescent="0.25">
      <c r="A64" s="58" t="s">
        <v>514</v>
      </c>
      <c r="B64" s="58" t="s">
        <v>64</v>
      </c>
      <c r="C64" s="61" t="s">
        <v>26</v>
      </c>
      <c r="E64" s="58" t="s">
        <v>26</v>
      </c>
      <c r="F64" s="58" t="str">
        <f>IF(Consultant_City="","",Consultant_City)</f>
        <v/>
      </c>
    </row>
    <row r="65" spans="1:6" x14ac:dyDescent="0.25">
      <c r="A65" s="58" t="s">
        <v>514</v>
      </c>
      <c r="B65" s="58" t="s">
        <v>64</v>
      </c>
      <c r="C65" s="61" t="s">
        <v>15</v>
      </c>
      <c r="E65" s="58" t="s">
        <v>15</v>
      </c>
      <c r="F65" s="58" t="str">
        <f>IF(Consultant_County="","",Consultant_County)</f>
        <v/>
      </c>
    </row>
    <row r="66" spans="1:6" x14ac:dyDescent="0.25">
      <c r="A66" s="58" t="s">
        <v>514</v>
      </c>
      <c r="B66" s="58" t="s">
        <v>64</v>
      </c>
      <c r="C66" s="61" t="s">
        <v>27</v>
      </c>
      <c r="E66" s="58" t="s">
        <v>27</v>
      </c>
      <c r="F66" s="60" t="str">
        <f>IF(Consultant_State="","",Consultant_State)</f>
        <v/>
      </c>
    </row>
    <row r="67" spans="1:6" x14ac:dyDescent="0.25">
      <c r="A67" s="58" t="s">
        <v>514</v>
      </c>
      <c r="B67" s="58" t="s">
        <v>64</v>
      </c>
      <c r="C67" s="61" t="s">
        <v>54</v>
      </c>
      <c r="E67" s="58" t="s">
        <v>128</v>
      </c>
      <c r="F67" s="58" t="str">
        <f>IF(Consultant_Zip="","",Consultant_Zip)</f>
        <v/>
      </c>
    </row>
    <row r="68" spans="1:6" x14ac:dyDescent="0.25">
      <c r="A68" s="58" t="s">
        <v>514</v>
      </c>
      <c r="B68" s="58" t="s">
        <v>64</v>
      </c>
      <c r="C68" s="61" t="s">
        <v>55</v>
      </c>
      <c r="E68" s="58" t="s">
        <v>604</v>
      </c>
    </row>
    <row r="69" spans="1:6" x14ac:dyDescent="0.25">
      <c r="A69" s="58" t="s">
        <v>514</v>
      </c>
      <c r="B69" s="58" t="s">
        <v>64</v>
      </c>
      <c r="C69" s="61" t="s">
        <v>56</v>
      </c>
      <c r="E69" s="58" t="s">
        <v>605</v>
      </c>
    </row>
    <row r="70" spans="1:6" s="246" customFormat="1" x14ac:dyDescent="0.25">
      <c r="A70" s="246" t="s">
        <v>514</v>
      </c>
      <c r="B70" s="246" t="s">
        <v>64</v>
      </c>
      <c r="C70" s="247" t="s">
        <v>60</v>
      </c>
      <c r="E70" s="246" t="s">
        <v>606</v>
      </c>
    </row>
    <row r="71" spans="1:6" x14ac:dyDescent="0.25">
      <c r="A71" s="58" t="s">
        <v>514</v>
      </c>
      <c r="B71" s="58" t="s">
        <v>67</v>
      </c>
      <c r="C71" s="58" t="s">
        <v>516</v>
      </c>
      <c r="E71" s="58" t="s">
        <v>516</v>
      </c>
      <c r="F71" s="60" t="str">
        <f>IF(GeneralContractor_Name="","","Company")</f>
        <v/>
      </c>
    </row>
    <row r="72" spans="1:6" x14ac:dyDescent="0.25">
      <c r="A72" s="58" t="s">
        <v>514</v>
      </c>
      <c r="B72" s="58" t="s">
        <v>67</v>
      </c>
      <c r="C72" s="58" t="s">
        <v>515</v>
      </c>
      <c r="E72" s="58" t="s">
        <v>515</v>
      </c>
      <c r="F72" s="60" t="str">
        <f>IF(GeneralContractor_Name="","","General Contractor")</f>
        <v/>
      </c>
    </row>
    <row r="73" spans="1:6" x14ac:dyDescent="0.25">
      <c r="A73" s="58" t="s">
        <v>514</v>
      </c>
      <c r="B73" s="58" t="s">
        <v>67</v>
      </c>
      <c r="C73" s="61" t="s">
        <v>68</v>
      </c>
      <c r="F73" s="58" t="str">
        <f>IF(GeneralContractor_Same_as_other_entity?="","",GeneralContractor_Same_as_other_entity?)</f>
        <v/>
      </c>
    </row>
    <row r="74" spans="1:6" x14ac:dyDescent="0.25">
      <c r="A74" s="58" t="s">
        <v>514</v>
      </c>
      <c r="B74" s="58" t="s">
        <v>67</v>
      </c>
      <c r="C74" s="61" t="s">
        <v>71</v>
      </c>
      <c r="E74" s="58" t="s">
        <v>551</v>
      </c>
      <c r="F74" s="58" t="str">
        <f>IF(GeneralContractor_Name="","",GeneralContractor_Name)</f>
        <v/>
      </c>
    </row>
    <row r="75" spans="1:6" x14ac:dyDescent="0.25">
      <c r="A75" s="58" t="s">
        <v>514</v>
      </c>
      <c r="B75" s="58" t="s">
        <v>67</v>
      </c>
      <c r="C75" s="61" t="s">
        <v>25</v>
      </c>
      <c r="E75" s="58" t="s">
        <v>552</v>
      </c>
      <c r="F75" s="58" t="str">
        <f>IF(GeneralContractor_Address="","",GeneralContractor_Address)</f>
        <v/>
      </c>
    </row>
    <row r="76" spans="1:6" x14ac:dyDescent="0.25">
      <c r="A76" s="58" t="s">
        <v>514</v>
      </c>
      <c r="B76" s="58" t="s">
        <v>67</v>
      </c>
      <c r="C76" s="61" t="s">
        <v>26</v>
      </c>
      <c r="E76" s="58" t="s">
        <v>26</v>
      </c>
      <c r="F76" s="58" t="str">
        <f>IF(GeneralContractor_City="","",GeneralContractor_City)</f>
        <v/>
      </c>
    </row>
    <row r="77" spans="1:6" x14ac:dyDescent="0.25">
      <c r="A77" s="58" t="s">
        <v>514</v>
      </c>
      <c r="B77" s="58" t="s">
        <v>67</v>
      </c>
      <c r="C77" s="61" t="s">
        <v>15</v>
      </c>
      <c r="E77" s="58" t="s">
        <v>15</v>
      </c>
      <c r="F77" s="58" t="str">
        <f>IF(GeneralContractor_County="","",GeneralContractor_County)</f>
        <v/>
      </c>
    </row>
    <row r="78" spans="1:6" x14ac:dyDescent="0.25">
      <c r="A78" s="58" t="s">
        <v>514</v>
      </c>
      <c r="B78" s="58" t="s">
        <v>67</v>
      </c>
      <c r="C78" s="61" t="s">
        <v>27</v>
      </c>
      <c r="E78" s="58" t="s">
        <v>27</v>
      </c>
      <c r="F78" s="60" t="str">
        <f>IF(GeneralContractor_State="","",GeneralContractor_State)</f>
        <v/>
      </c>
    </row>
    <row r="79" spans="1:6" x14ac:dyDescent="0.25">
      <c r="A79" s="58" t="s">
        <v>514</v>
      </c>
      <c r="B79" s="58" t="s">
        <v>67</v>
      </c>
      <c r="C79" s="61" t="s">
        <v>54</v>
      </c>
      <c r="E79" s="58" t="s">
        <v>128</v>
      </c>
      <c r="F79" s="58" t="str">
        <f>IF(GeneralContractor_Zip="","",GeneralContractor_Zip)</f>
        <v/>
      </c>
    </row>
    <row r="80" spans="1:6" x14ac:dyDescent="0.25">
      <c r="A80" s="58" t="s">
        <v>514</v>
      </c>
      <c r="B80" s="58" t="s">
        <v>67</v>
      </c>
      <c r="C80" s="61" t="s">
        <v>55</v>
      </c>
      <c r="E80" s="58" t="s">
        <v>604</v>
      </c>
    </row>
    <row r="81" spans="1:6" x14ac:dyDescent="0.25">
      <c r="A81" s="58" t="s">
        <v>514</v>
      </c>
      <c r="B81" s="58" t="s">
        <v>67</v>
      </c>
      <c r="C81" s="61" t="s">
        <v>56</v>
      </c>
      <c r="E81" s="58" t="s">
        <v>605</v>
      </c>
      <c r="F81" s="58" t="str">
        <f>IF(GeneralContractor_Telephone="","",GeneralContractor_Telephone)</f>
        <v/>
      </c>
    </row>
    <row r="82" spans="1:6" s="246" customFormat="1" x14ac:dyDescent="0.25">
      <c r="A82" s="246" t="s">
        <v>514</v>
      </c>
      <c r="B82" s="246" t="s">
        <v>67</v>
      </c>
      <c r="C82" s="247" t="s">
        <v>60</v>
      </c>
      <c r="E82" s="246" t="s">
        <v>606</v>
      </c>
      <c r="F82" s="246" t="str">
        <f>IF(GeneralContractor_Email="","",GeneralContractor_Email)</f>
        <v/>
      </c>
    </row>
    <row r="83" spans="1:6" x14ac:dyDescent="0.25">
      <c r="A83" s="58" t="s">
        <v>514</v>
      </c>
      <c r="B83" s="58" t="s">
        <v>73</v>
      </c>
      <c r="C83" s="58" t="s">
        <v>516</v>
      </c>
      <c r="E83" s="58" t="s">
        <v>516</v>
      </c>
      <c r="F83" s="60" t="str">
        <f>IF(ManagementCompany_Name="","","Company")</f>
        <v/>
      </c>
    </row>
    <row r="84" spans="1:6" x14ac:dyDescent="0.25">
      <c r="A84" s="58" t="s">
        <v>514</v>
      </c>
      <c r="B84" s="58" t="s">
        <v>73</v>
      </c>
      <c r="C84" s="58" t="s">
        <v>515</v>
      </c>
      <c r="E84" s="58" t="s">
        <v>515</v>
      </c>
      <c r="F84" s="60" t="str">
        <f>IF(ManagementCompany_Name="","","Management Agent")</f>
        <v/>
      </c>
    </row>
    <row r="85" spans="1:6" x14ac:dyDescent="0.25">
      <c r="A85" s="58" t="s">
        <v>514</v>
      </c>
      <c r="B85" s="58" t="s">
        <v>73</v>
      </c>
      <c r="C85" s="61" t="s">
        <v>68</v>
      </c>
      <c r="F85" s="58" t="str">
        <f>IF(ManagementCompany_Same_as_other_entity?="","",ManagementCompany_Same_as_other_entity?)</f>
        <v/>
      </c>
    </row>
    <row r="86" spans="1:6" x14ac:dyDescent="0.25">
      <c r="A86" s="58" t="s">
        <v>514</v>
      </c>
      <c r="B86" s="58" t="s">
        <v>73</v>
      </c>
      <c r="C86" s="61" t="s">
        <v>74</v>
      </c>
      <c r="E86" s="58" t="s">
        <v>551</v>
      </c>
      <c r="F86" s="58" t="str">
        <f>IF(ManagementCompany_Name="","",ManagementCompany_Name)</f>
        <v/>
      </c>
    </row>
    <row r="87" spans="1:6" x14ac:dyDescent="0.25">
      <c r="A87" s="58" t="s">
        <v>514</v>
      </c>
      <c r="B87" s="58" t="s">
        <v>73</v>
      </c>
      <c r="C87" s="61" t="s">
        <v>25</v>
      </c>
      <c r="E87" s="58" t="s">
        <v>552</v>
      </c>
      <c r="F87" s="58" t="str">
        <f>IF(ManagementCompany_Address="","",ManagementCompany_Address)</f>
        <v/>
      </c>
    </row>
    <row r="88" spans="1:6" x14ac:dyDescent="0.25">
      <c r="A88" s="58" t="s">
        <v>514</v>
      </c>
      <c r="B88" s="58" t="s">
        <v>73</v>
      </c>
      <c r="C88" s="61" t="s">
        <v>26</v>
      </c>
      <c r="E88" s="58" t="s">
        <v>26</v>
      </c>
      <c r="F88" s="58" t="str">
        <f>IF(ManagementCompany_City="","",ManagementCompany_City)</f>
        <v/>
      </c>
    </row>
    <row r="89" spans="1:6" x14ac:dyDescent="0.25">
      <c r="A89" s="58" t="s">
        <v>514</v>
      </c>
      <c r="B89" s="58" t="s">
        <v>73</v>
      </c>
      <c r="C89" s="61" t="s">
        <v>15</v>
      </c>
      <c r="E89" s="58" t="s">
        <v>15</v>
      </c>
      <c r="F89" s="58" t="str">
        <f>IF(ManagementCompany_County="","",ManagementCompany_County)</f>
        <v/>
      </c>
    </row>
    <row r="90" spans="1:6" x14ac:dyDescent="0.25">
      <c r="A90" s="58" t="s">
        <v>514</v>
      </c>
      <c r="B90" s="58" t="s">
        <v>73</v>
      </c>
      <c r="C90" s="61" t="s">
        <v>27</v>
      </c>
      <c r="E90" s="58" t="s">
        <v>27</v>
      </c>
      <c r="F90" s="60" t="str">
        <f>IF(ManagementCompany_State="","",ManagementCompany_State)</f>
        <v/>
      </c>
    </row>
    <row r="91" spans="1:6" x14ac:dyDescent="0.25">
      <c r="A91" s="58" t="s">
        <v>514</v>
      </c>
      <c r="B91" s="58" t="s">
        <v>73</v>
      </c>
      <c r="C91" s="61" t="s">
        <v>54</v>
      </c>
      <c r="E91" s="58" t="s">
        <v>128</v>
      </c>
      <c r="F91" s="58" t="str">
        <f>IF(ManagementCompany_Zip="","",ManagementCompany_Zip)</f>
        <v/>
      </c>
    </row>
    <row r="92" spans="1:6" x14ac:dyDescent="0.25">
      <c r="A92" s="58" t="s">
        <v>514</v>
      </c>
      <c r="B92" s="58" t="s">
        <v>73</v>
      </c>
      <c r="C92" s="61" t="s">
        <v>55</v>
      </c>
      <c r="E92" s="58" t="s">
        <v>604</v>
      </c>
    </row>
    <row r="93" spans="1:6" x14ac:dyDescent="0.25">
      <c r="A93" s="58" t="s">
        <v>514</v>
      </c>
      <c r="B93" s="58" t="s">
        <v>73</v>
      </c>
      <c r="C93" s="61" t="s">
        <v>56</v>
      </c>
      <c r="E93" s="58" t="s">
        <v>605</v>
      </c>
      <c r="F93" s="58" t="str">
        <f>IF(ManagementCompany_Telephone="","",ManagementCompany_Telephone)</f>
        <v/>
      </c>
    </row>
    <row r="94" spans="1:6" s="246" customFormat="1" x14ac:dyDescent="0.25">
      <c r="A94" s="246" t="s">
        <v>514</v>
      </c>
      <c r="B94" s="246" t="s">
        <v>73</v>
      </c>
      <c r="C94" s="247" t="s">
        <v>60</v>
      </c>
      <c r="E94" s="246" t="s">
        <v>606</v>
      </c>
      <c r="F94" s="246" t="str">
        <f>IF(ManagementCompany_Email="","",ManagementCompany_Email)</f>
        <v/>
      </c>
    </row>
    <row r="95" spans="1:6" x14ac:dyDescent="0.25">
      <c r="A95" s="58" t="s">
        <v>514</v>
      </c>
      <c r="B95" s="58" t="s">
        <v>75</v>
      </c>
      <c r="C95" s="58" t="s">
        <v>516</v>
      </c>
      <c r="E95" s="58" t="s">
        <v>516</v>
      </c>
      <c r="F95" s="60" t="str">
        <f>IF(Architect_Name="","","Company")</f>
        <v/>
      </c>
    </row>
    <row r="96" spans="1:6" x14ac:dyDescent="0.25">
      <c r="A96" s="58" t="s">
        <v>514</v>
      </c>
      <c r="B96" s="58" t="s">
        <v>75</v>
      </c>
      <c r="C96" s="58" t="s">
        <v>515</v>
      </c>
      <c r="E96" s="58" t="s">
        <v>515</v>
      </c>
      <c r="F96" s="60" t="str">
        <f>IF(Architect_Name="","","Architect")</f>
        <v/>
      </c>
    </row>
    <row r="97" spans="1:7" x14ac:dyDescent="0.25">
      <c r="A97" s="58" t="s">
        <v>514</v>
      </c>
      <c r="B97" s="58" t="s">
        <v>75</v>
      </c>
      <c r="C97" s="61" t="s">
        <v>68</v>
      </c>
      <c r="F97" s="58" t="str">
        <f>IF(Architect_Same_as_other_entity?="","",Architect_Same_as_other_entity?)</f>
        <v/>
      </c>
    </row>
    <row r="98" spans="1:7" x14ac:dyDescent="0.25">
      <c r="A98" s="58" t="s">
        <v>514</v>
      </c>
      <c r="B98" s="58" t="s">
        <v>75</v>
      </c>
      <c r="C98" s="61" t="s">
        <v>76</v>
      </c>
      <c r="E98" s="58" t="s">
        <v>551</v>
      </c>
      <c r="F98" s="58" t="str">
        <f>IF(Architect_Name="","",Architect_Name)</f>
        <v/>
      </c>
    </row>
    <row r="99" spans="1:7" x14ac:dyDescent="0.25">
      <c r="A99" s="58" t="s">
        <v>514</v>
      </c>
      <c r="B99" s="58" t="s">
        <v>75</v>
      </c>
      <c r="C99" s="61" t="s">
        <v>25</v>
      </c>
      <c r="E99" s="58" t="s">
        <v>552</v>
      </c>
      <c r="F99" s="58" t="str">
        <f>IF(Architect_Address="","",Architect_Address)</f>
        <v/>
      </c>
    </row>
    <row r="100" spans="1:7" x14ac:dyDescent="0.25">
      <c r="A100" s="58" t="s">
        <v>514</v>
      </c>
      <c r="B100" s="58" t="s">
        <v>75</v>
      </c>
      <c r="C100" s="61" t="s">
        <v>26</v>
      </c>
      <c r="E100" s="58" t="s">
        <v>26</v>
      </c>
      <c r="F100" s="58" t="str">
        <f>IF(Architect_City="","",Architect_City)</f>
        <v/>
      </c>
    </row>
    <row r="101" spans="1:7" x14ac:dyDescent="0.25">
      <c r="A101" s="58" t="s">
        <v>514</v>
      </c>
      <c r="B101" s="58" t="s">
        <v>75</v>
      </c>
      <c r="C101" s="58" t="s">
        <v>15</v>
      </c>
      <c r="E101" s="58" t="s">
        <v>15</v>
      </c>
    </row>
    <row r="102" spans="1:7" x14ac:dyDescent="0.25">
      <c r="A102" s="58" t="s">
        <v>514</v>
      </c>
      <c r="B102" s="58" t="s">
        <v>75</v>
      </c>
      <c r="C102" s="61" t="s">
        <v>27</v>
      </c>
      <c r="E102" s="58" t="s">
        <v>27</v>
      </c>
      <c r="F102" s="60" t="str">
        <f>IF(Architect_State="","",Architect_State)</f>
        <v/>
      </c>
    </row>
    <row r="103" spans="1:7" x14ac:dyDescent="0.25">
      <c r="A103" s="58" t="s">
        <v>514</v>
      </c>
      <c r="B103" s="58" t="s">
        <v>75</v>
      </c>
      <c r="C103" s="61" t="s">
        <v>54</v>
      </c>
      <c r="E103" s="58" t="s">
        <v>128</v>
      </c>
      <c r="F103" s="58" t="str">
        <f>IF(Architect_Zip="","",Architect_Zip)</f>
        <v/>
      </c>
    </row>
    <row r="104" spans="1:7" x14ac:dyDescent="0.25">
      <c r="A104" s="58" t="s">
        <v>514</v>
      </c>
      <c r="B104" s="58" t="s">
        <v>75</v>
      </c>
      <c r="C104" s="61" t="s">
        <v>55</v>
      </c>
      <c r="E104" s="58" t="s">
        <v>604</v>
      </c>
    </row>
    <row r="105" spans="1:7" x14ac:dyDescent="0.25">
      <c r="A105" s="58" t="s">
        <v>514</v>
      </c>
      <c r="B105" s="58" t="s">
        <v>75</v>
      </c>
      <c r="C105" s="61" t="s">
        <v>56</v>
      </c>
      <c r="E105" s="58" t="s">
        <v>605</v>
      </c>
      <c r="F105" s="58" t="str">
        <f>IF(Architect_Telephone="","",Architect_Telephone)</f>
        <v/>
      </c>
    </row>
    <row r="106" spans="1:7" s="243" customFormat="1" ht="15.75" thickBot="1" x14ac:dyDescent="0.3">
      <c r="A106" s="243" t="s">
        <v>514</v>
      </c>
      <c r="B106" s="243" t="s">
        <v>75</v>
      </c>
      <c r="C106" s="245" t="s">
        <v>60</v>
      </c>
      <c r="E106" s="243" t="s">
        <v>606</v>
      </c>
      <c r="F106" s="243" t="str">
        <f>IF(Architect_Email="","",Architect_Email)</f>
        <v/>
      </c>
    </row>
    <row r="107" spans="1:7" x14ac:dyDescent="0.25">
      <c r="A107" s="58" t="s">
        <v>463</v>
      </c>
      <c r="B107" s="58" t="s">
        <v>31</v>
      </c>
      <c r="C107" s="58" t="s">
        <v>453</v>
      </c>
      <c r="D107" s="58" t="s">
        <v>36</v>
      </c>
      <c r="E107" s="58" t="s">
        <v>688</v>
      </c>
      <c r="F107" s="60" t="str">
        <f>IF(LIHTC_30_SRO="","","SRO")</f>
        <v/>
      </c>
      <c r="G107" s="60"/>
    </row>
    <row r="108" spans="1:7" x14ac:dyDescent="0.25">
      <c r="A108" s="58" t="s">
        <v>463</v>
      </c>
      <c r="B108" s="58" t="s">
        <v>31</v>
      </c>
      <c r="C108" s="58" t="s">
        <v>453</v>
      </c>
      <c r="D108" s="58" t="s">
        <v>36</v>
      </c>
      <c r="E108" s="58" t="s">
        <v>689</v>
      </c>
      <c r="F108" s="58" t="str">
        <f>IF(LIHTC_30_SRO="","",LIHTC_30_SRO)</f>
        <v/>
      </c>
    </row>
    <row r="109" spans="1:7" x14ac:dyDescent="0.25">
      <c r="A109" s="58" t="s">
        <v>463</v>
      </c>
      <c r="B109" s="58" t="s">
        <v>31</v>
      </c>
      <c r="C109" s="58" t="s">
        <v>453</v>
      </c>
      <c r="D109" s="58" t="s">
        <v>36</v>
      </c>
      <c r="E109" s="58" t="s">
        <v>691</v>
      </c>
      <c r="F109" s="60" t="str">
        <f>IF(LIHTC_30_SRO="","","30% AMI")</f>
        <v/>
      </c>
    </row>
    <row r="110" spans="1:7" x14ac:dyDescent="0.25">
      <c r="A110" s="58" t="s">
        <v>463</v>
      </c>
      <c r="B110" s="58" t="s">
        <v>31</v>
      </c>
      <c r="C110" s="58" t="s">
        <v>454</v>
      </c>
      <c r="D110" s="58" t="s">
        <v>36</v>
      </c>
      <c r="E110" s="58" t="s">
        <v>688</v>
      </c>
      <c r="F110" s="60" t="str">
        <f>IF(LIHTC_30_STU="","","Efficiency")</f>
        <v/>
      </c>
    </row>
    <row r="111" spans="1:7" x14ac:dyDescent="0.25">
      <c r="A111" s="58" t="s">
        <v>463</v>
      </c>
      <c r="B111" s="58" t="s">
        <v>31</v>
      </c>
      <c r="C111" s="58" t="s">
        <v>454</v>
      </c>
      <c r="D111" s="58" t="s">
        <v>36</v>
      </c>
      <c r="E111" s="58" t="s">
        <v>689</v>
      </c>
      <c r="F111" s="58" t="str">
        <f>IF(LIHTC_30_STU="","",LIHTC_30_STU)</f>
        <v/>
      </c>
    </row>
    <row r="112" spans="1:7" x14ac:dyDescent="0.25">
      <c r="A112" s="58" t="s">
        <v>463</v>
      </c>
      <c r="B112" s="58" t="s">
        <v>31</v>
      </c>
      <c r="C112" s="58" t="s">
        <v>454</v>
      </c>
      <c r="D112" s="58" t="s">
        <v>36</v>
      </c>
      <c r="E112" s="58" t="s">
        <v>691</v>
      </c>
      <c r="F112" s="60" t="str">
        <f>IF(LIHTC_30_STU="","","30% AMI")</f>
        <v/>
      </c>
    </row>
    <row r="113" spans="1:6" x14ac:dyDescent="0.25">
      <c r="A113" s="58" t="s">
        <v>463</v>
      </c>
      <c r="B113" s="58" t="s">
        <v>31</v>
      </c>
      <c r="C113" s="58" t="s">
        <v>32</v>
      </c>
      <c r="D113" s="58" t="s">
        <v>36</v>
      </c>
      <c r="E113" s="58" t="s">
        <v>688</v>
      </c>
      <c r="F113" s="60" t="str">
        <f>IF(LIHTC_30_1BR="","","1 Bedroom")</f>
        <v/>
      </c>
    </row>
    <row r="114" spans="1:6" x14ac:dyDescent="0.25">
      <c r="A114" s="58" t="s">
        <v>463</v>
      </c>
      <c r="B114" s="58" t="s">
        <v>31</v>
      </c>
      <c r="C114" s="58" t="s">
        <v>32</v>
      </c>
      <c r="D114" s="58" t="s">
        <v>36</v>
      </c>
      <c r="E114" s="58" t="s">
        <v>689</v>
      </c>
      <c r="F114" s="58" t="str">
        <f>IF(LIHTC_30_1BR="","",LIHTC_30_1BR)</f>
        <v/>
      </c>
    </row>
    <row r="115" spans="1:6" x14ac:dyDescent="0.25">
      <c r="A115" s="58" t="s">
        <v>463</v>
      </c>
      <c r="B115" s="58" t="s">
        <v>31</v>
      </c>
      <c r="C115" s="58" t="s">
        <v>32</v>
      </c>
      <c r="D115" s="58" t="s">
        <v>36</v>
      </c>
      <c r="E115" s="58" t="s">
        <v>691</v>
      </c>
      <c r="F115" s="60" t="str">
        <f>IF(LIHTC_30_1BR="","","30% AMI")</f>
        <v/>
      </c>
    </row>
    <row r="116" spans="1:6" x14ac:dyDescent="0.25">
      <c r="A116" s="58" t="s">
        <v>463</v>
      </c>
      <c r="B116" s="58" t="s">
        <v>31</v>
      </c>
      <c r="C116" s="58" t="s">
        <v>33</v>
      </c>
      <c r="D116" s="58" t="s">
        <v>36</v>
      </c>
      <c r="E116" s="58" t="s">
        <v>688</v>
      </c>
      <c r="F116" s="60" t="str">
        <f>IF(LIHTC_30_2BR="","","2 Bedroom")</f>
        <v/>
      </c>
    </row>
    <row r="117" spans="1:6" x14ac:dyDescent="0.25">
      <c r="A117" s="58" t="s">
        <v>463</v>
      </c>
      <c r="B117" s="58" t="s">
        <v>31</v>
      </c>
      <c r="C117" s="58" t="s">
        <v>33</v>
      </c>
      <c r="D117" s="58" t="s">
        <v>36</v>
      </c>
      <c r="E117" s="58" t="s">
        <v>689</v>
      </c>
      <c r="F117" s="58" t="str">
        <f>IF(LIHTC_30_2BR="","",LIHTC_30_2BR)</f>
        <v/>
      </c>
    </row>
    <row r="118" spans="1:6" x14ac:dyDescent="0.25">
      <c r="A118" s="58" t="s">
        <v>463</v>
      </c>
      <c r="B118" s="58" t="s">
        <v>31</v>
      </c>
      <c r="C118" s="58" t="s">
        <v>33</v>
      </c>
      <c r="D118" s="58" t="s">
        <v>36</v>
      </c>
      <c r="E118" s="58" t="s">
        <v>691</v>
      </c>
      <c r="F118" s="60" t="str">
        <f>IF(LIHTC_30_2BR="","","30% AMI")</f>
        <v/>
      </c>
    </row>
    <row r="119" spans="1:6" x14ac:dyDescent="0.25">
      <c r="A119" s="58" t="s">
        <v>463</v>
      </c>
      <c r="B119" s="58" t="s">
        <v>31</v>
      </c>
      <c r="C119" s="58" t="s">
        <v>34</v>
      </c>
      <c r="D119" s="58" t="s">
        <v>36</v>
      </c>
      <c r="E119" s="58" t="s">
        <v>688</v>
      </c>
      <c r="F119" s="60" t="str">
        <f>IF(LIHTC_30_3BR="","","3 Bedroom")</f>
        <v/>
      </c>
    </row>
    <row r="120" spans="1:6" x14ac:dyDescent="0.25">
      <c r="A120" s="58" t="s">
        <v>463</v>
      </c>
      <c r="B120" s="58" t="s">
        <v>31</v>
      </c>
      <c r="C120" s="58" t="s">
        <v>34</v>
      </c>
      <c r="D120" s="58" t="s">
        <v>36</v>
      </c>
      <c r="E120" s="58" t="s">
        <v>689</v>
      </c>
      <c r="F120" s="58" t="str">
        <f>IF(LIHTC_30_3BR="","",LIHTC_30_3BR)</f>
        <v/>
      </c>
    </row>
    <row r="121" spans="1:6" x14ac:dyDescent="0.25">
      <c r="A121" s="58" t="s">
        <v>463</v>
      </c>
      <c r="B121" s="58" t="s">
        <v>31</v>
      </c>
      <c r="C121" s="58" t="s">
        <v>34</v>
      </c>
      <c r="D121" s="58" t="s">
        <v>36</v>
      </c>
      <c r="E121" s="58" t="s">
        <v>691</v>
      </c>
      <c r="F121" s="60" t="str">
        <f>IF(LIHTC_30_3BR="","","30% AMI")</f>
        <v/>
      </c>
    </row>
    <row r="122" spans="1:6" x14ac:dyDescent="0.25">
      <c r="A122" s="58" t="s">
        <v>463</v>
      </c>
      <c r="B122" s="58" t="s">
        <v>31</v>
      </c>
      <c r="C122" s="58" t="s">
        <v>35</v>
      </c>
      <c r="D122" s="58" t="s">
        <v>36</v>
      </c>
      <c r="E122" s="58" t="s">
        <v>688</v>
      </c>
      <c r="F122" s="60" t="str">
        <f>IF(LIHTC_30_4BR="","","4 Bedroom")</f>
        <v/>
      </c>
    </row>
    <row r="123" spans="1:6" x14ac:dyDescent="0.25">
      <c r="A123" s="58" t="s">
        <v>463</v>
      </c>
      <c r="B123" s="58" t="s">
        <v>31</v>
      </c>
      <c r="C123" s="58" t="s">
        <v>35</v>
      </c>
      <c r="D123" s="58" t="s">
        <v>36</v>
      </c>
      <c r="E123" s="58" t="s">
        <v>689</v>
      </c>
      <c r="F123" s="58" t="str">
        <f>IF(LIHTC_30_4BR="","",LIHTC_30_4BR)</f>
        <v/>
      </c>
    </row>
    <row r="124" spans="1:6" x14ac:dyDescent="0.25">
      <c r="A124" s="58" t="s">
        <v>463</v>
      </c>
      <c r="B124" s="58" t="s">
        <v>31</v>
      </c>
      <c r="C124" s="58" t="s">
        <v>35</v>
      </c>
      <c r="D124" s="58" t="s">
        <v>36</v>
      </c>
      <c r="E124" s="58" t="s">
        <v>691</v>
      </c>
      <c r="F124" s="60" t="str">
        <f>IF(LIHTC_30_4BR="","","30% AMI")</f>
        <v/>
      </c>
    </row>
    <row r="125" spans="1:6" x14ac:dyDescent="0.25">
      <c r="A125" s="58" t="s">
        <v>463</v>
      </c>
      <c r="B125" s="58" t="s">
        <v>31</v>
      </c>
      <c r="C125" s="58" t="s">
        <v>453</v>
      </c>
      <c r="D125" s="58" t="s">
        <v>37</v>
      </c>
      <c r="E125" s="58" t="s">
        <v>688</v>
      </c>
      <c r="F125" s="60" t="str">
        <f>IF(LIHTC_40_SRO="","","SRO")</f>
        <v/>
      </c>
    </row>
    <row r="126" spans="1:6" x14ac:dyDescent="0.25">
      <c r="A126" s="58" t="s">
        <v>463</v>
      </c>
      <c r="B126" s="58" t="s">
        <v>31</v>
      </c>
      <c r="C126" s="58" t="s">
        <v>453</v>
      </c>
      <c r="D126" s="58" t="s">
        <v>37</v>
      </c>
      <c r="E126" s="58" t="s">
        <v>689</v>
      </c>
      <c r="F126" s="58" t="str">
        <f>IF(LIHTC_40_SRO="","",LIHTC_40_SRO)</f>
        <v/>
      </c>
    </row>
    <row r="127" spans="1:6" x14ac:dyDescent="0.25">
      <c r="A127" s="58" t="s">
        <v>463</v>
      </c>
      <c r="B127" s="58" t="s">
        <v>31</v>
      </c>
      <c r="C127" s="58" t="s">
        <v>453</v>
      </c>
      <c r="D127" s="58" t="s">
        <v>37</v>
      </c>
      <c r="E127" s="58" t="s">
        <v>691</v>
      </c>
      <c r="F127" s="60" t="str">
        <f>IF(LIHTC_40_SRO="","","40% AMI")</f>
        <v/>
      </c>
    </row>
    <row r="128" spans="1:6" x14ac:dyDescent="0.25">
      <c r="A128" s="58" t="s">
        <v>463</v>
      </c>
      <c r="B128" s="58" t="s">
        <v>31</v>
      </c>
      <c r="C128" s="58" t="s">
        <v>454</v>
      </c>
      <c r="D128" s="58" t="s">
        <v>37</v>
      </c>
      <c r="E128" s="58" t="s">
        <v>688</v>
      </c>
      <c r="F128" s="60" t="str">
        <f>IF(LIHTC_40_STU="","","Efficiency")</f>
        <v/>
      </c>
    </row>
    <row r="129" spans="1:6" x14ac:dyDescent="0.25">
      <c r="A129" s="58" t="s">
        <v>463</v>
      </c>
      <c r="B129" s="58" t="s">
        <v>31</v>
      </c>
      <c r="C129" s="58" t="s">
        <v>454</v>
      </c>
      <c r="D129" s="58" t="s">
        <v>37</v>
      </c>
      <c r="E129" s="58" t="s">
        <v>689</v>
      </c>
      <c r="F129" s="58" t="str">
        <f>IF(LIHTC_40_STU="","",LIHTC_40_STU)</f>
        <v/>
      </c>
    </row>
    <row r="130" spans="1:6" x14ac:dyDescent="0.25">
      <c r="A130" s="58" t="s">
        <v>463</v>
      </c>
      <c r="B130" s="58" t="s">
        <v>31</v>
      </c>
      <c r="C130" s="58" t="s">
        <v>454</v>
      </c>
      <c r="D130" s="58" t="s">
        <v>37</v>
      </c>
      <c r="E130" s="58" t="s">
        <v>691</v>
      </c>
      <c r="F130" s="60" t="str">
        <f>IF(LIHTC_40_STU="","","40% AMI")</f>
        <v/>
      </c>
    </row>
    <row r="131" spans="1:6" x14ac:dyDescent="0.25">
      <c r="A131" s="58" t="s">
        <v>463</v>
      </c>
      <c r="B131" s="58" t="s">
        <v>31</v>
      </c>
      <c r="C131" s="58" t="s">
        <v>32</v>
      </c>
      <c r="D131" s="58" t="s">
        <v>37</v>
      </c>
      <c r="E131" s="58" t="s">
        <v>688</v>
      </c>
      <c r="F131" s="60" t="str">
        <f>IF(LIHTC_40_1BR="","","1 Bedroom")</f>
        <v/>
      </c>
    </row>
    <row r="132" spans="1:6" x14ac:dyDescent="0.25">
      <c r="A132" s="58" t="s">
        <v>463</v>
      </c>
      <c r="B132" s="58" t="s">
        <v>31</v>
      </c>
      <c r="C132" s="58" t="s">
        <v>32</v>
      </c>
      <c r="D132" s="58" t="s">
        <v>37</v>
      </c>
      <c r="E132" s="58" t="s">
        <v>689</v>
      </c>
      <c r="F132" s="58" t="str">
        <f>IF(LIHTC_40_1BR="","",LIHTC_40_1BR)</f>
        <v/>
      </c>
    </row>
    <row r="133" spans="1:6" x14ac:dyDescent="0.25">
      <c r="A133" s="58" t="s">
        <v>463</v>
      </c>
      <c r="B133" s="58" t="s">
        <v>31</v>
      </c>
      <c r="C133" s="58" t="s">
        <v>32</v>
      </c>
      <c r="D133" s="58" t="s">
        <v>37</v>
      </c>
      <c r="E133" s="58" t="s">
        <v>691</v>
      </c>
      <c r="F133" s="60" t="str">
        <f>IF(LIHTC_40_1BR="","","40% AMI")</f>
        <v/>
      </c>
    </row>
    <row r="134" spans="1:6" x14ac:dyDescent="0.25">
      <c r="A134" s="58" t="s">
        <v>463</v>
      </c>
      <c r="B134" s="58" t="s">
        <v>31</v>
      </c>
      <c r="C134" s="58" t="s">
        <v>33</v>
      </c>
      <c r="D134" s="58" t="s">
        <v>37</v>
      </c>
      <c r="E134" s="58" t="s">
        <v>688</v>
      </c>
      <c r="F134" s="60" t="str">
        <f>IF(LIHTC_40_2BR="","","2 Bedroom")</f>
        <v/>
      </c>
    </row>
    <row r="135" spans="1:6" x14ac:dyDescent="0.25">
      <c r="A135" s="58" t="s">
        <v>463</v>
      </c>
      <c r="B135" s="58" t="s">
        <v>31</v>
      </c>
      <c r="C135" s="58" t="s">
        <v>33</v>
      </c>
      <c r="D135" s="58" t="s">
        <v>37</v>
      </c>
      <c r="E135" s="58" t="s">
        <v>689</v>
      </c>
      <c r="F135" s="58" t="str">
        <f>IF(LIHTC_40_2BR="","",LIHTC_40_2BR)</f>
        <v/>
      </c>
    </row>
    <row r="136" spans="1:6" x14ac:dyDescent="0.25">
      <c r="A136" s="58" t="s">
        <v>463</v>
      </c>
      <c r="B136" s="58" t="s">
        <v>31</v>
      </c>
      <c r="C136" s="58" t="s">
        <v>33</v>
      </c>
      <c r="D136" s="58" t="s">
        <v>37</v>
      </c>
      <c r="E136" s="58" t="s">
        <v>691</v>
      </c>
      <c r="F136" s="60" t="str">
        <f>IF(LIHTC_40_2BR="","","40% AMI")</f>
        <v/>
      </c>
    </row>
    <row r="137" spans="1:6" x14ac:dyDescent="0.25">
      <c r="A137" s="58" t="s">
        <v>463</v>
      </c>
      <c r="B137" s="58" t="s">
        <v>31</v>
      </c>
      <c r="C137" s="58" t="s">
        <v>34</v>
      </c>
      <c r="D137" s="58" t="s">
        <v>37</v>
      </c>
      <c r="E137" s="58" t="s">
        <v>688</v>
      </c>
      <c r="F137" s="60" t="str">
        <f>IF(LIHTC_40_3BR="","","3 Bedroom")</f>
        <v/>
      </c>
    </row>
    <row r="138" spans="1:6" x14ac:dyDescent="0.25">
      <c r="A138" s="58" t="s">
        <v>463</v>
      </c>
      <c r="B138" s="58" t="s">
        <v>31</v>
      </c>
      <c r="C138" s="58" t="s">
        <v>34</v>
      </c>
      <c r="D138" s="58" t="s">
        <v>37</v>
      </c>
      <c r="E138" s="58" t="s">
        <v>689</v>
      </c>
      <c r="F138" s="58" t="str">
        <f>IF(LIHTC_40_3BR="","",LIHTC_40_3BR)</f>
        <v/>
      </c>
    </row>
    <row r="139" spans="1:6" x14ac:dyDescent="0.25">
      <c r="A139" s="58" t="s">
        <v>463</v>
      </c>
      <c r="B139" s="58" t="s">
        <v>31</v>
      </c>
      <c r="C139" s="58" t="s">
        <v>34</v>
      </c>
      <c r="D139" s="58" t="s">
        <v>37</v>
      </c>
      <c r="E139" s="58" t="s">
        <v>691</v>
      </c>
      <c r="F139" s="60" t="str">
        <f>IF(LIHTC_40_3BR="","","40% AMI")</f>
        <v/>
      </c>
    </row>
    <row r="140" spans="1:6" x14ac:dyDescent="0.25">
      <c r="A140" s="58" t="s">
        <v>463</v>
      </c>
      <c r="B140" s="58" t="s">
        <v>31</v>
      </c>
      <c r="C140" s="58" t="s">
        <v>35</v>
      </c>
      <c r="D140" s="58" t="s">
        <v>37</v>
      </c>
      <c r="E140" s="58" t="s">
        <v>688</v>
      </c>
      <c r="F140" s="60" t="str">
        <f>IF(LIHTC_40_4BR="","","4 Bedroom")</f>
        <v/>
      </c>
    </row>
    <row r="141" spans="1:6" x14ac:dyDescent="0.25">
      <c r="A141" s="58" t="s">
        <v>463</v>
      </c>
      <c r="B141" s="58" t="s">
        <v>31</v>
      </c>
      <c r="C141" s="58" t="s">
        <v>35</v>
      </c>
      <c r="D141" s="58" t="s">
        <v>37</v>
      </c>
      <c r="E141" s="58" t="s">
        <v>689</v>
      </c>
      <c r="F141" s="58" t="str">
        <f>IF(LIHTC_40_4BR="","",LIHTC_40_4BR)</f>
        <v/>
      </c>
    </row>
    <row r="142" spans="1:6" x14ac:dyDescent="0.25">
      <c r="A142" s="58" t="s">
        <v>463</v>
      </c>
      <c r="B142" s="58" t="s">
        <v>31</v>
      </c>
      <c r="C142" s="58" t="s">
        <v>35</v>
      </c>
      <c r="D142" s="58" t="s">
        <v>37</v>
      </c>
      <c r="E142" s="58" t="s">
        <v>691</v>
      </c>
      <c r="F142" s="60" t="str">
        <f>IF(LIHTC_40_4BR="","","40% AMI")</f>
        <v/>
      </c>
    </row>
    <row r="143" spans="1:6" x14ac:dyDescent="0.25">
      <c r="A143" s="58" t="s">
        <v>463</v>
      </c>
      <c r="B143" s="58" t="s">
        <v>31</v>
      </c>
      <c r="C143" s="58" t="s">
        <v>453</v>
      </c>
      <c r="D143" s="58" t="s">
        <v>38</v>
      </c>
      <c r="E143" s="58" t="s">
        <v>688</v>
      </c>
      <c r="F143" s="60" t="str">
        <f>IF(LIHTC_50_SRO="","","SRO")</f>
        <v/>
      </c>
    </row>
    <row r="144" spans="1:6" x14ac:dyDescent="0.25">
      <c r="A144" s="58" t="s">
        <v>463</v>
      </c>
      <c r="B144" s="58" t="s">
        <v>31</v>
      </c>
      <c r="C144" s="58" t="s">
        <v>453</v>
      </c>
      <c r="D144" s="58" t="s">
        <v>38</v>
      </c>
      <c r="E144" s="58" t="s">
        <v>689</v>
      </c>
      <c r="F144" s="58" t="str">
        <f>IF(LIHTC_50_SRO="","",LIHTC_50_SRO)</f>
        <v/>
      </c>
    </row>
    <row r="145" spans="1:6" x14ac:dyDescent="0.25">
      <c r="A145" s="58" t="s">
        <v>463</v>
      </c>
      <c r="B145" s="58" t="s">
        <v>31</v>
      </c>
      <c r="C145" s="58" t="s">
        <v>453</v>
      </c>
      <c r="D145" s="58" t="s">
        <v>38</v>
      </c>
      <c r="E145" s="58" t="s">
        <v>691</v>
      </c>
      <c r="F145" s="60" t="str">
        <f>IF(LIHTC_50_SRO="","","50% AMI")</f>
        <v/>
      </c>
    </row>
    <row r="146" spans="1:6" x14ac:dyDescent="0.25">
      <c r="A146" s="58" t="s">
        <v>463</v>
      </c>
      <c r="B146" s="58" t="s">
        <v>31</v>
      </c>
      <c r="C146" s="58" t="s">
        <v>454</v>
      </c>
      <c r="D146" s="58" t="s">
        <v>38</v>
      </c>
      <c r="E146" s="58" t="s">
        <v>688</v>
      </c>
      <c r="F146" s="60" t="str">
        <f>IF(LIHTC_50_STU="","","Efficiency")</f>
        <v/>
      </c>
    </row>
    <row r="147" spans="1:6" x14ac:dyDescent="0.25">
      <c r="A147" s="58" t="s">
        <v>463</v>
      </c>
      <c r="B147" s="58" t="s">
        <v>31</v>
      </c>
      <c r="C147" s="58" t="s">
        <v>454</v>
      </c>
      <c r="D147" s="58" t="s">
        <v>38</v>
      </c>
      <c r="E147" s="58" t="s">
        <v>689</v>
      </c>
      <c r="F147" s="58" t="str">
        <f>IF(LIHTC_50_STU="","",LIHTC_50_STU)</f>
        <v/>
      </c>
    </row>
    <row r="148" spans="1:6" x14ac:dyDescent="0.25">
      <c r="A148" s="58" t="s">
        <v>463</v>
      </c>
      <c r="B148" s="58" t="s">
        <v>31</v>
      </c>
      <c r="C148" s="58" t="s">
        <v>454</v>
      </c>
      <c r="D148" s="58" t="s">
        <v>38</v>
      </c>
      <c r="E148" s="58" t="s">
        <v>691</v>
      </c>
      <c r="F148" s="60" t="str">
        <f>IF(LIHTC_50_STU="","","50% AMI")</f>
        <v/>
      </c>
    </row>
    <row r="149" spans="1:6" x14ac:dyDescent="0.25">
      <c r="A149" s="58" t="s">
        <v>463</v>
      </c>
      <c r="B149" s="58" t="s">
        <v>31</v>
      </c>
      <c r="C149" s="58" t="s">
        <v>32</v>
      </c>
      <c r="D149" s="58" t="s">
        <v>38</v>
      </c>
      <c r="E149" s="58" t="s">
        <v>688</v>
      </c>
      <c r="F149" s="60" t="str">
        <f>IF(LIHTC_50_1BR="","","1 Bedroom")</f>
        <v/>
      </c>
    </row>
    <row r="150" spans="1:6" x14ac:dyDescent="0.25">
      <c r="A150" s="58" t="s">
        <v>463</v>
      </c>
      <c r="B150" s="58" t="s">
        <v>31</v>
      </c>
      <c r="C150" s="58" t="s">
        <v>32</v>
      </c>
      <c r="D150" s="58" t="s">
        <v>38</v>
      </c>
      <c r="E150" s="58" t="s">
        <v>689</v>
      </c>
      <c r="F150" s="58" t="str">
        <f>IF(LIHTC_50_1BR="","",LIHTC_50_1BR)</f>
        <v/>
      </c>
    </row>
    <row r="151" spans="1:6" x14ac:dyDescent="0.25">
      <c r="A151" s="58" t="s">
        <v>463</v>
      </c>
      <c r="B151" s="58" t="s">
        <v>31</v>
      </c>
      <c r="C151" s="58" t="s">
        <v>32</v>
      </c>
      <c r="D151" s="58" t="s">
        <v>38</v>
      </c>
      <c r="E151" s="58" t="s">
        <v>691</v>
      </c>
      <c r="F151" s="60" t="str">
        <f>IF(LIHTC_50_1BR="","","50% AMI")</f>
        <v/>
      </c>
    </row>
    <row r="152" spans="1:6" x14ac:dyDescent="0.25">
      <c r="A152" s="58" t="s">
        <v>463</v>
      </c>
      <c r="B152" s="58" t="s">
        <v>31</v>
      </c>
      <c r="C152" s="58" t="s">
        <v>33</v>
      </c>
      <c r="D152" s="58" t="s">
        <v>38</v>
      </c>
      <c r="E152" s="58" t="s">
        <v>688</v>
      </c>
      <c r="F152" s="60" t="str">
        <f>IF(LIHTC_50_2BR="","","2 Bedroom")</f>
        <v/>
      </c>
    </row>
    <row r="153" spans="1:6" x14ac:dyDescent="0.25">
      <c r="A153" s="58" t="s">
        <v>463</v>
      </c>
      <c r="B153" s="58" t="s">
        <v>31</v>
      </c>
      <c r="C153" s="58" t="s">
        <v>33</v>
      </c>
      <c r="D153" s="58" t="s">
        <v>38</v>
      </c>
      <c r="E153" s="58" t="s">
        <v>689</v>
      </c>
      <c r="F153" s="58" t="str">
        <f>IF(LIHTC_50_2BR="","",LIHTC_50_2BR)</f>
        <v/>
      </c>
    </row>
    <row r="154" spans="1:6" x14ac:dyDescent="0.25">
      <c r="A154" s="58" t="s">
        <v>463</v>
      </c>
      <c r="B154" s="58" t="s">
        <v>31</v>
      </c>
      <c r="C154" s="58" t="s">
        <v>33</v>
      </c>
      <c r="D154" s="58" t="s">
        <v>38</v>
      </c>
      <c r="E154" s="58" t="s">
        <v>691</v>
      </c>
      <c r="F154" s="60" t="str">
        <f>IF(LIHTC_50_2BR="","","50% AMI")</f>
        <v/>
      </c>
    </row>
    <row r="155" spans="1:6" x14ac:dyDescent="0.25">
      <c r="A155" s="58" t="s">
        <v>463</v>
      </c>
      <c r="B155" s="58" t="s">
        <v>31</v>
      </c>
      <c r="C155" s="58" t="s">
        <v>34</v>
      </c>
      <c r="D155" s="58" t="s">
        <v>38</v>
      </c>
      <c r="E155" s="58" t="s">
        <v>688</v>
      </c>
      <c r="F155" s="60" t="str">
        <f>IF(LIHTC_50_3BR="","","3 Bedroom")</f>
        <v/>
      </c>
    </row>
    <row r="156" spans="1:6" x14ac:dyDescent="0.25">
      <c r="A156" s="58" t="s">
        <v>463</v>
      </c>
      <c r="B156" s="58" t="s">
        <v>31</v>
      </c>
      <c r="C156" s="58" t="s">
        <v>34</v>
      </c>
      <c r="D156" s="58" t="s">
        <v>38</v>
      </c>
      <c r="E156" s="58" t="s">
        <v>689</v>
      </c>
      <c r="F156" s="58" t="str">
        <f>IF(LIHTC_50_3BR="","",LIHTC_50_3BR)</f>
        <v/>
      </c>
    </row>
    <row r="157" spans="1:6" x14ac:dyDescent="0.25">
      <c r="A157" s="58" t="s">
        <v>463</v>
      </c>
      <c r="B157" s="58" t="s">
        <v>31</v>
      </c>
      <c r="C157" s="58" t="s">
        <v>34</v>
      </c>
      <c r="D157" s="58" t="s">
        <v>38</v>
      </c>
      <c r="E157" s="58" t="s">
        <v>691</v>
      </c>
      <c r="F157" s="60" t="str">
        <f>IF(LIHTC_50_3BR="","","50% AMI")</f>
        <v/>
      </c>
    </row>
    <row r="158" spans="1:6" x14ac:dyDescent="0.25">
      <c r="A158" s="58" t="s">
        <v>463</v>
      </c>
      <c r="B158" s="58" t="s">
        <v>31</v>
      </c>
      <c r="C158" s="58" t="s">
        <v>35</v>
      </c>
      <c r="D158" s="58" t="s">
        <v>38</v>
      </c>
      <c r="E158" s="58" t="s">
        <v>688</v>
      </c>
      <c r="F158" s="60" t="str">
        <f>IF(LIHTC_50_4BR="","","4 Bedroom")</f>
        <v/>
      </c>
    </row>
    <row r="159" spans="1:6" x14ac:dyDescent="0.25">
      <c r="A159" s="58" t="s">
        <v>463</v>
      </c>
      <c r="B159" s="58" t="s">
        <v>31</v>
      </c>
      <c r="C159" s="58" t="s">
        <v>35</v>
      </c>
      <c r="D159" s="58" t="s">
        <v>38</v>
      </c>
      <c r="E159" s="58" t="s">
        <v>689</v>
      </c>
      <c r="F159" s="58" t="str">
        <f>IF(LIHTC_50_4BR="","",LIHTC_50_4BR)</f>
        <v/>
      </c>
    </row>
    <row r="160" spans="1:6" x14ac:dyDescent="0.25">
      <c r="A160" s="58" t="s">
        <v>463</v>
      </c>
      <c r="B160" s="58" t="s">
        <v>31</v>
      </c>
      <c r="C160" s="58" t="s">
        <v>35</v>
      </c>
      <c r="D160" s="58" t="s">
        <v>38</v>
      </c>
      <c r="E160" s="58" t="s">
        <v>691</v>
      </c>
      <c r="F160" s="60" t="str">
        <f>IF(LIHTC_50_4BR="","","50% AMI")</f>
        <v/>
      </c>
    </row>
    <row r="161" spans="1:6" x14ac:dyDescent="0.25">
      <c r="A161" s="58" t="s">
        <v>463</v>
      </c>
      <c r="B161" s="58" t="s">
        <v>31</v>
      </c>
      <c r="C161" s="58" t="s">
        <v>453</v>
      </c>
      <c r="D161" s="58" t="s">
        <v>39</v>
      </c>
      <c r="E161" s="58" t="s">
        <v>688</v>
      </c>
      <c r="F161" s="60" t="str">
        <f>IF(LIHTC_60_SRO="","","SRO")</f>
        <v/>
      </c>
    </row>
    <row r="162" spans="1:6" x14ac:dyDescent="0.25">
      <c r="A162" s="58" t="s">
        <v>463</v>
      </c>
      <c r="B162" s="58" t="s">
        <v>31</v>
      </c>
      <c r="C162" s="58" t="s">
        <v>453</v>
      </c>
      <c r="D162" s="58" t="s">
        <v>39</v>
      </c>
      <c r="E162" s="58" t="s">
        <v>689</v>
      </c>
      <c r="F162" s="58" t="str">
        <f>IF(LIHTC_60_SRO="","",LIHTC_60_SRO)</f>
        <v/>
      </c>
    </row>
    <row r="163" spans="1:6" x14ac:dyDescent="0.25">
      <c r="A163" s="58" t="s">
        <v>463</v>
      </c>
      <c r="B163" s="58" t="s">
        <v>31</v>
      </c>
      <c r="C163" s="58" t="s">
        <v>453</v>
      </c>
      <c r="D163" s="58" t="s">
        <v>39</v>
      </c>
      <c r="E163" s="58" t="s">
        <v>691</v>
      </c>
      <c r="F163" s="60" t="str">
        <f>IF(LIHTC_60_SRO="","","60% AMI")</f>
        <v/>
      </c>
    </row>
    <row r="164" spans="1:6" x14ac:dyDescent="0.25">
      <c r="A164" s="58" t="s">
        <v>463</v>
      </c>
      <c r="B164" s="58" t="s">
        <v>31</v>
      </c>
      <c r="C164" s="58" t="s">
        <v>454</v>
      </c>
      <c r="D164" s="58" t="s">
        <v>39</v>
      </c>
      <c r="E164" s="58" t="s">
        <v>688</v>
      </c>
      <c r="F164" s="60" t="str">
        <f>IF(LIHTC_60_SRO="","","Efficiency")</f>
        <v/>
      </c>
    </row>
    <row r="165" spans="1:6" x14ac:dyDescent="0.25">
      <c r="A165" s="58" t="s">
        <v>463</v>
      </c>
      <c r="B165" s="58" t="s">
        <v>31</v>
      </c>
      <c r="C165" s="58" t="s">
        <v>454</v>
      </c>
      <c r="D165" s="58" t="s">
        <v>39</v>
      </c>
      <c r="E165" s="58" t="s">
        <v>689</v>
      </c>
      <c r="F165" s="58" t="str">
        <f>IF(LIHTC_60_SRO="","",LIHTC_60_SRO)</f>
        <v/>
      </c>
    </row>
    <row r="166" spans="1:6" x14ac:dyDescent="0.25">
      <c r="A166" s="58" t="s">
        <v>463</v>
      </c>
      <c r="B166" s="58" t="s">
        <v>31</v>
      </c>
      <c r="C166" s="58" t="s">
        <v>454</v>
      </c>
      <c r="D166" s="58" t="s">
        <v>39</v>
      </c>
      <c r="E166" s="58" t="s">
        <v>691</v>
      </c>
      <c r="F166" s="60" t="str">
        <f>IF(LIHTC_60_SRO="","","60% AMI")</f>
        <v/>
      </c>
    </row>
    <row r="167" spans="1:6" x14ac:dyDescent="0.25">
      <c r="A167" s="58" t="s">
        <v>463</v>
      </c>
      <c r="B167" s="58" t="s">
        <v>31</v>
      </c>
      <c r="C167" s="58" t="s">
        <v>32</v>
      </c>
      <c r="D167" s="58" t="s">
        <v>39</v>
      </c>
      <c r="E167" s="58" t="s">
        <v>688</v>
      </c>
      <c r="F167" s="60" t="str">
        <f>IF(LIHTC_60_1BR="","","1 Bedroom")</f>
        <v/>
      </c>
    </row>
    <row r="168" spans="1:6" x14ac:dyDescent="0.25">
      <c r="A168" s="58" t="s">
        <v>463</v>
      </c>
      <c r="B168" s="58" t="s">
        <v>31</v>
      </c>
      <c r="C168" s="58" t="s">
        <v>32</v>
      </c>
      <c r="D168" s="58" t="s">
        <v>39</v>
      </c>
      <c r="E168" s="58" t="s">
        <v>689</v>
      </c>
      <c r="F168" s="58" t="str">
        <f>IF(LIHTC_60_1BR="","",LIHTC_60_1BR)</f>
        <v/>
      </c>
    </row>
    <row r="169" spans="1:6" x14ac:dyDescent="0.25">
      <c r="A169" s="58" t="s">
        <v>463</v>
      </c>
      <c r="B169" s="58" t="s">
        <v>31</v>
      </c>
      <c r="C169" s="58" t="s">
        <v>32</v>
      </c>
      <c r="D169" s="58" t="s">
        <v>39</v>
      </c>
      <c r="E169" s="58" t="s">
        <v>691</v>
      </c>
      <c r="F169" s="60" t="str">
        <f>IF(LIHTC_60_1BR="","","60% AMI")</f>
        <v/>
      </c>
    </row>
    <row r="170" spans="1:6" x14ac:dyDescent="0.25">
      <c r="A170" s="58" t="s">
        <v>463</v>
      </c>
      <c r="B170" s="58" t="s">
        <v>31</v>
      </c>
      <c r="C170" s="58" t="s">
        <v>33</v>
      </c>
      <c r="D170" s="58" t="s">
        <v>39</v>
      </c>
      <c r="E170" s="58" t="s">
        <v>688</v>
      </c>
      <c r="F170" s="60" t="str">
        <f>IF(LIHTC_60_2BR="","","2 Bedroom")</f>
        <v/>
      </c>
    </row>
    <row r="171" spans="1:6" x14ac:dyDescent="0.25">
      <c r="A171" s="58" t="s">
        <v>463</v>
      </c>
      <c r="B171" s="58" t="s">
        <v>31</v>
      </c>
      <c r="C171" s="58" t="s">
        <v>33</v>
      </c>
      <c r="D171" s="58" t="s">
        <v>39</v>
      </c>
      <c r="E171" s="58" t="s">
        <v>689</v>
      </c>
      <c r="F171" s="58" t="str">
        <f>IF(LIHTC_60_2BR="","",LIHTC_60_2BR)</f>
        <v/>
      </c>
    </row>
    <row r="172" spans="1:6" x14ac:dyDescent="0.25">
      <c r="A172" s="58" t="s">
        <v>463</v>
      </c>
      <c r="B172" s="58" t="s">
        <v>31</v>
      </c>
      <c r="C172" s="58" t="s">
        <v>33</v>
      </c>
      <c r="D172" s="58" t="s">
        <v>39</v>
      </c>
      <c r="E172" s="58" t="s">
        <v>691</v>
      </c>
      <c r="F172" s="60" t="str">
        <f>IF(LIHTC_60_2BR="","","60% AMI")</f>
        <v/>
      </c>
    </row>
    <row r="173" spans="1:6" x14ac:dyDescent="0.25">
      <c r="A173" s="58" t="s">
        <v>463</v>
      </c>
      <c r="B173" s="58" t="s">
        <v>31</v>
      </c>
      <c r="C173" s="58" t="s">
        <v>34</v>
      </c>
      <c r="D173" s="58" t="s">
        <v>39</v>
      </c>
      <c r="E173" s="58" t="s">
        <v>688</v>
      </c>
      <c r="F173" s="60" t="str">
        <f>IF(LIHTC_60_3BR="","","3 Bedroom")</f>
        <v/>
      </c>
    </row>
    <row r="174" spans="1:6" x14ac:dyDescent="0.25">
      <c r="A174" s="58" t="s">
        <v>463</v>
      </c>
      <c r="B174" s="58" t="s">
        <v>31</v>
      </c>
      <c r="C174" s="58" t="s">
        <v>34</v>
      </c>
      <c r="D174" s="58" t="s">
        <v>39</v>
      </c>
      <c r="E174" s="58" t="s">
        <v>689</v>
      </c>
      <c r="F174" s="58" t="str">
        <f>IF(LIHTC_60_3BR="","",LIHTC_60_3BR)</f>
        <v/>
      </c>
    </row>
    <row r="175" spans="1:6" x14ac:dyDescent="0.25">
      <c r="A175" s="58" t="s">
        <v>463</v>
      </c>
      <c r="B175" s="58" t="s">
        <v>31</v>
      </c>
      <c r="C175" s="58" t="s">
        <v>34</v>
      </c>
      <c r="D175" s="58" t="s">
        <v>39</v>
      </c>
      <c r="E175" s="58" t="s">
        <v>691</v>
      </c>
      <c r="F175" s="60" t="str">
        <f>IF(LIHTC_60_3BR="","","60% AMI")</f>
        <v/>
      </c>
    </row>
    <row r="176" spans="1:6" x14ac:dyDescent="0.25">
      <c r="A176" s="58" t="s">
        <v>463</v>
      </c>
      <c r="B176" s="58" t="s">
        <v>31</v>
      </c>
      <c r="C176" s="58" t="s">
        <v>35</v>
      </c>
      <c r="D176" s="58" t="s">
        <v>39</v>
      </c>
      <c r="E176" s="58" t="s">
        <v>688</v>
      </c>
      <c r="F176" s="60" t="str">
        <f>IF(LIHTC_60_4BR="","","4 Bedroom")</f>
        <v/>
      </c>
    </row>
    <row r="177" spans="1:6" x14ac:dyDescent="0.25">
      <c r="A177" s="58" t="s">
        <v>463</v>
      </c>
      <c r="B177" s="58" t="s">
        <v>31</v>
      </c>
      <c r="C177" s="58" t="s">
        <v>35</v>
      </c>
      <c r="D177" s="58" t="s">
        <v>39</v>
      </c>
      <c r="E177" s="58" t="s">
        <v>689</v>
      </c>
      <c r="F177" s="58" t="str">
        <f>IF(LIHTC_60_4BR="","",LIHTC_60_4BR)</f>
        <v/>
      </c>
    </row>
    <row r="178" spans="1:6" x14ac:dyDescent="0.25">
      <c r="A178" s="58" t="s">
        <v>463</v>
      </c>
      <c r="B178" s="58" t="s">
        <v>31</v>
      </c>
      <c r="C178" s="58" t="s">
        <v>35</v>
      </c>
      <c r="D178" s="58" t="s">
        <v>39</v>
      </c>
      <c r="E178" s="58" t="s">
        <v>691</v>
      </c>
      <c r="F178" s="60" t="str">
        <f>IF(LIHTC_60_4BR="","","60% AMI")</f>
        <v/>
      </c>
    </row>
    <row r="179" spans="1:6" x14ac:dyDescent="0.25">
      <c r="A179" s="58" t="s">
        <v>463</v>
      </c>
      <c r="B179" s="58" t="s">
        <v>31</v>
      </c>
      <c r="C179" s="58" t="s">
        <v>453</v>
      </c>
      <c r="D179" s="58" t="s">
        <v>40</v>
      </c>
      <c r="E179" s="58" t="s">
        <v>688</v>
      </c>
      <c r="F179" s="60" t="str">
        <f>IF(LIHTC_61_SRO="","","SRO")</f>
        <v/>
      </c>
    </row>
    <row r="180" spans="1:6" x14ac:dyDescent="0.25">
      <c r="A180" s="58" t="s">
        <v>463</v>
      </c>
      <c r="B180" s="58" t="s">
        <v>31</v>
      </c>
      <c r="C180" s="58" t="s">
        <v>453</v>
      </c>
      <c r="D180" s="58" t="s">
        <v>40</v>
      </c>
      <c r="E180" s="58" t="s">
        <v>689</v>
      </c>
      <c r="F180" s="58" t="str">
        <f>IF(LIHTC_61_SRO="","",LIHTC_61_SRO)</f>
        <v/>
      </c>
    </row>
    <row r="181" spans="1:6" x14ac:dyDescent="0.25">
      <c r="A181" s="58" t="s">
        <v>463</v>
      </c>
      <c r="B181" s="58" t="s">
        <v>31</v>
      </c>
      <c r="C181" s="58" t="s">
        <v>453</v>
      </c>
      <c r="D181" s="58" t="s">
        <v>40</v>
      </c>
      <c r="E181" s="58" t="s">
        <v>691</v>
      </c>
      <c r="F181" s="60" t="str">
        <f>IF(LIHTC_61_SRO="","","&gt;60% AMI")</f>
        <v/>
      </c>
    </row>
    <row r="182" spans="1:6" x14ac:dyDescent="0.25">
      <c r="A182" s="58" t="s">
        <v>463</v>
      </c>
      <c r="B182" s="58" t="s">
        <v>31</v>
      </c>
      <c r="C182" s="58" t="s">
        <v>454</v>
      </c>
      <c r="D182" s="58" t="s">
        <v>40</v>
      </c>
      <c r="E182" s="58" t="s">
        <v>688</v>
      </c>
      <c r="F182" s="60" t="str">
        <f>IF(LIHTC_61_STU="","","Efficiency")</f>
        <v/>
      </c>
    </row>
    <row r="183" spans="1:6" x14ac:dyDescent="0.25">
      <c r="A183" s="58" t="s">
        <v>463</v>
      </c>
      <c r="B183" s="58" t="s">
        <v>31</v>
      </c>
      <c r="C183" s="58" t="s">
        <v>454</v>
      </c>
      <c r="D183" s="58" t="s">
        <v>40</v>
      </c>
      <c r="E183" s="58" t="s">
        <v>689</v>
      </c>
      <c r="F183" s="58" t="str">
        <f>IF(LIHTC_61_STU="","",LIHTC_61_STU)</f>
        <v/>
      </c>
    </row>
    <row r="184" spans="1:6" x14ac:dyDescent="0.25">
      <c r="A184" s="58" t="s">
        <v>463</v>
      </c>
      <c r="B184" s="58" t="s">
        <v>31</v>
      </c>
      <c r="C184" s="58" t="s">
        <v>454</v>
      </c>
      <c r="D184" s="58" t="s">
        <v>40</v>
      </c>
      <c r="E184" s="58" t="s">
        <v>691</v>
      </c>
      <c r="F184" s="60" t="str">
        <f>IF(LIHTC_61_STU="","","&gt;60% AMI")</f>
        <v/>
      </c>
    </row>
    <row r="185" spans="1:6" x14ac:dyDescent="0.25">
      <c r="A185" s="58" t="s">
        <v>463</v>
      </c>
      <c r="B185" s="58" t="s">
        <v>31</v>
      </c>
      <c r="C185" s="58" t="s">
        <v>32</v>
      </c>
      <c r="D185" s="58" t="s">
        <v>40</v>
      </c>
      <c r="E185" s="58" t="s">
        <v>688</v>
      </c>
      <c r="F185" s="60" t="str">
        <f>IF(LIHTC_61_1BR="","","1 Bedroom")</f>
        <v/>
      </c>
    </row>
    <row r="186" spans="1:6" x14ac:dyDescent="0.25">
      <c r="A186" s="58" t="s">
        <v>463</v>
      </c>
      <c r="B186" s="58" t="s">
        <v>31</v>
      </c>
      <c r="C186" s="58" t="s">
        <v>32</v>
      </c>
      <c r="D186" s="58" t="s">
        <v>40</v>
      </c>
      <c r="E186" s="58" t="s">
        <v>689</v>
      </c>
      <c r="F186" s="58" t="str">
        <f>IF(LIHTC_61_1BR="","",LIHTC_61_1BR)</f>
        <v/>
      </c>
    </row>
    <row r="187" spans="1:6" x14ac:dyDescent="0.25">
      <c r="A187" s="58" t="s">
        <v>463</v>
      </c>
      <c r="B187" s="58" t="s">
        <v>31</v>
      </c>
      <c r="C187" s="58" t="s">
        <v>32</v>
      </c>
      <c r="D187" s="58" t="s">
        <v>40</v>
      </c>
      <c r="E187" s="58" t="s">
        <v>691</v>
      </c>
      <c r="F187" s="60" t="str">
        <f>IF(LIHTC_61_1BR="","","&gt;600% AMI")</f>
        <v/>
      </c>
    </row>
    <row r="188" spans="1:6" x14ac:dyDescent="0.25">
      <c r="A188" s="58" t="s">
        <v>463</v>
      </c>
      <c r="B188" s="58" t="s">
        <v>31</v>
      </c>
      <c r="C188" s="58" t="s">
        <v>33</v>
      </c>
      <c r="D188" s="58" t="s">
        <v>40</v>
      </c>
      <c r="E188" s="58" t="s">
        <v>688</v>
      </c>
      <c r="F188" s="60" t="str">
        <f>IF(LIHTC_61_2BR="","","2 Bedroom")</f>
        <v/>
      </c>
    </row>
    <row r="189" spans="1:6" x14ac:dyDescent="0.25">
      <c r="A189" s="58" t="s">
        <v>463</v>
      </c>
      <c r="B189" s="58" t="s">
        <v>31</v>
      </c>
      <c r="C189" s="58" t="s">
        <v>33</v>
      </c>
      <c r="D189" s="58" t="s">
        <v>40</v>
      </c>
      <c r="E189" s="58" t="s">
        <v>689</v>
      </c>
      <c r="F189" s="58" t="str">
        <f>IF(LIHTC_61_2BR="","",LIHTC_61_2BR)</f>
        <v/>
      </c>
    </row>
    <row r="190" spans="1:6" x14ac:dyDescent="0.25">
      <c r="A190" s="58" t="s">
        <v>463</v>
      </c>
      <c r="B190" s="58" t="s">
        <v>31</v>
      </c>
      <c r="C190" s="58" t="s">
        <v>33</v>
      </c>
      <c r="D190" s="58" t="s">
        <v>40</v>
      </c>
      <c r="E190" s="58" t="s">
        <v>691</v>
      </c>
      <c r="F190" s="60" t="str">
        <f>IF(LIHTC_61_2BR="","","&gt;60% AMI")</f>
        <v/>
      </c>
    </row>
    <row r="191" spans="1:6" x14ac:dyDescent="0.25">
      <c r="A191" s="58" t="s">
        <v>463</v>
      </c>
      <c r="B191" s="58" t="s">
        <v>31</v>
      </c>
      <c r="C191" s="58" t="s">
        <v>34</v>
      </c>
      <c r="D191" s="58" t="s">
        <v>40</v>
      </c>
      <c r="E191" s="58" t="s">
        <v>688</v>
      </c>
      <c r="F191" s="60" t="str">
        <f>IF(LIHTC_61_3BR="","","3 Bedroom")</f>
        <v/>
      </c>
    </row>
    <row r="192" spans="1:6" x14ac:dyDescent="0.25">
      <c r="A192" s="58" t="s">
        <v>463</v>
      </c>
      <c r="B192" s="58" t="s">
        <v>31</v>
      </c>
      <c r="C192" s="58" t="s">
        <v>34</v>
      </c>
      <c r="D192" s="58" t="s">
        <v>40</v>
      </c>
      <c r="E192" s="58" t="s">
        <v>689</v>
      </c>
      <c r="F192" s="58" t="str">
        <f>IF(LIHTC_61_3BR="","",LIHTC_61_3BR)</f>
        <v/>
      </c>
    </row>
    <row r="193" spans="1:6" x14ac:dyDescent="0.25">
      <c r="A193" s="58" t="s">
        <v>463</v>
      </c>
      <c r="B193" s="58" t="s">
        <v>31</v>
      </c>
      <c r="C193" s="58" t="s">
        <v>34</v>
      </c>
      <c r="D193" s="58" t="s">
        <v>40</v>
      </c>
      <c r="E193" s="58" t="s">
        <v>691</v>
      </c>
      <c r="F193" s="60" t="str">
        <f>IF(LIHTC_61_3BR="","","&gt;60% AMI")</f>
        <v/>
      </c>
    </row>
    <row r="194" spans="1:6" x14ac:dyDescent="0.25">
      <c r="A194" s="58" t="s">
        <v>463</v>
      </c>
      <c r="B194" s="58" t="s">
        <v>31</v>
      </c>
      <c r="C194" s="58" t="s">
        <v>35</v>
      </c>
      <c r="D194" s="58" t="s">
        <v>40</v>
      </c>
      <c r="E194" s="58" t="s">
        <v>688</v>
      </c>
      <c r="F194" s="60" t="str">
        <f>IF(LIHTC_61_4BR="","","4 Bedroom")</f>
        <v/>
      </c>
    </row>
    <row r="195" spans="1:6" x14ac:dyDescent="0.25">
      <c r="A195" s="58" t="s">
        <v>463</v>
      </c>
      <c r="B195" s="58" t="s">
        <v>31</v>
      </c>
      <c r="C195" s="58" t="s">
        <v>35</v>
      </c>
      <c r="D195" s="58" t="s">
        <v>40</v>
      </c>
      <c r="E195" s="58" t="s">
        <v>689</v>
      </c>
      <c r="F195" s="58" t="str">
        <f>IF(LIHTC_61_4BR="","",LIHTC_61_4BR)</f>
        <v/>
      </c>
    </row>
    <row r="196" spans="1:6" s="243" customFormat="1" ht="15.75" thickBot="1" x14ac:dyDescent="0.3">
      <c r="A196" s="243" t="s">
        <v>463</v>
      </c>
      <c r="B196" s="243" t="s">
        <v>31</v>
      </c>
      <c r="C196" s="243" t="s">
        <v>35</v>
      </c>
      <c r="D196" s="243" t="s">
        <v>40</v>
      </c>
      <c r="E196" s="243" t="s">
        <v>691</v>
      </c>
      <c r="F196" s="244" t="str">
        <f>IF(LIHTC_61_4BR="","","&gt;60% AMI")</f>
        <v/>
      </c>
    </row>
    <row r="197" spans="1:6" x14ac:dyDescent="0.25">
      <c r="A197" s="58" t="s">
        <v>805</v>
      </c>
      <c r="C197" s="58" t="s">
        <v>113</v>
      </c>
    </row>
    <row r="198" spans="1:6" x14ac:dyDescent="0.25">
      <c r="A198" s="58" t="s">
        <v>805</v>
      </c>
      <c r="C198" s="267" t="s">
        <v>512</v>
      </c>
      <c r="D198" s="267"/>
    </row>
    <row r="199" spans="1:6" x14ac:dyDescent="0.25">
      <c r="A199" s="58" t="s">
        <v>805</v>
      </c>
      <c r="C199" s="267" t="s">
        <v>81</v>
      </c>
      <c r="D199" s="267"/>
    </row>
    <row r="200" spans="1:6" x14ac:dyDescent="0.25">
      <c r="A200" s="58" t="s">
        <v>805</v>
      </c>
      <c r="C200" s="58" t="s">
        <v>675</v>
      </c>
    </row>
    <row r="201" spans="1:6" x14ac:dyDescent="0.25">
      <c r="A201" s="58" t="s">
        <v>805</v>
      </c>
      <c r="C201" s="58" t="s">
        <v>741</v>
      </c>
    </row>
    <row r="202" spans="1:6" s="243" customFormat="1" ht="15.75" thickBot="1" x14ac:dyDescent="0.3">
      <c r="A202" s="243" t="s">
        <v>805</v>
      </c>
      <c r="C202" s="243" t="s">
        <v>807</v>
      </c>
    </row>
    <row r="203" spans="1:6" x14ac:dyDescent="0.25">
      <c r="A203" s="58" t="s">
        <v>806</v>
      </c>
      <c r="C203" s="58" t="s">
        <v>29</v>
      </c>
    </row>
    <row r="204" spans="1:6" x14ac:dyDescent="0.25">
      <c r="A204" s="58" t="s">
        <v>806</v>
      </c>
      <c r="C204" s="58" t="s">
        <v>537</v>
      </c>
    </row>
    <row r="205" spans="1:6" x14ac:dyDescent="0.25">
      <c r="A205" s="58" t="s">
        <v>806</v>
      </c>
      <c r="C205" s="267" t="s">
        <v>97</v>
      </c>
      <c r="E205" s="58" t="str">
        <f>'NOFA 2021-4 (9% LIHTC)'!$E$15</f>
        <v>Yes</v>
      </c>
      <c r="F205" s="58" t="b">
        <f t="shared" ref="F205:F210" si="0">IF(E205="Yes",TRUE,FALSE)</f>
        <v>1</v>
      </c>
    </row>
    <row r="206" spans="1:6" x14ac:dyDescent="0.25">
      <c r="A206" s="58" t="s">
        <v>806</v>
      </c>
      <c r="C206" s="267" t="s">
        <v>98</v>
      </c>
      <c r="E206" s="58" t="str">
        <f>'NOFA 2021-4 (9% LIHTC)'!$E$16</f>
        <v>Yes</v>
      </c>
      <c r="F206" s="58" t="b">
        <f t="shared" si="0"/>
        <v>1</v>
      </c>
    </row>
    <row r="207" spans="1:6" x14ac:dyDescent="0.25">
      <c r="A207" s="58" t="s">
        <v>806</v>
      </c>
      <c r="C207" s="267" t="s">
        <v>99</v>
      </c>
      <c r="E207" s="58" t="str">
        <f>'NOFA 2021-4 (9% LIHTC)'!$E$17</f>
        <v>Yes</v>
      </c>
      <c r="F207" s="58" t="b">
        <f t="shared" si="0"/>
        <v>1</v>
      </c>
    </row>
    <row r="208" spans="1:6" x14ac:dyDescent="0.25">
      <c r="A208" s="58" t="s">
        <v>806</v>
      </c>
      <c r="C208" s="267" t="s">
        <v>680</v>
      </c>
      <c r="E208" s="58" t="str">
        <f>'NOFA 2021-4 (9% LIHTC)'!$E$18</f>
        <v>Yes</v>
      </c>
      <c r="F208" s="58" t="b">
        <f t="shared" si="0"/>
        <v>1</v>
      </c>
    </row>
    <row r="209" spans="1:6" x14ac:dyDescent="0.25">
      <c r="A209" s="58" t="s">
        <v>806</v>
      </c>
      <c r="C209" s="267" t="s">
        <v>100</v>
      </c>
      <c r="E209" s="58" t="str">
        <f>'NOFA 2021-4 (9% LIHTC)'!$E$19</f>
        <v>Yes</v>
      </c>
      <c r="F209" s="58" t="b">
        <f t="shared" si="0"/>
        <v>1</v>
      </c>
    </row>
    <row r="210" spans="1:6" x14ac:dyDescent="0.25">
      <c r="A210" s="58" t="s">
        <v>806</v>
      </c>
      <c r="C210" s="267" t="s">
        <v>101</v>
      </c>
      <c r="E210" s="58" t="str">
        <f>'NOFA 2021-4 (9% LIHTC)'!$E$20</f>
        <v>Yes</v>
      </c>
      <c r="F210" s="58" t="b">
        <f t="shared" si="0"/>
        <v>1</v>
      </c>
    </row>
    <row r="211" spans="1:6" x14ac:dyDescent="0.25">
      <c r="A211" s="58" t="s">
        <v>806</v>
      </c>
      <c r="C211" s="267" t="s">
        <v>513</v>
      </c>
    </row>
    <row r="212" spans="1:6" x14ac:dyDescent="0.25">
      <c r="A212" s="58" t="s">
        <v>806</v>
      </c>
      <c r="C212" s="267" t="s">
        <v>512</v>
      </c>
    </row>
    <row r="213" spans="1:6" x14ac:dyDescent="0.25">
      <c r="A213" s="58" t="s">
        <v>806</v>
      </c>
      <c r="C213" s="267" t="s">
        <v>82</v>
      </c>
    </row>
    <row r="214" spans="1:6" x14ac:dyDescent="0.25">
      <c r="A214" s="58" t="s">
        <v>806</v>
      </c>
      <c r="C214" s="267" t="s">
        <v>81</v>
      </c>
    </row>
    <row r="215" spans="1:6" x14ac:dyDescent="0.25">
      <c r="A215" s="58" t="s">
        <v>806</v>
      </c>
      <c r="C215" s="58" t="s">
        <v>675</v>
      </c>
    </row>
    <row r="216" spans="1:6" x14ac:dyDescent="0.25">
      <c r="A216" s="58" t="s">
        <v>806</v>
      </c>
      <c r="C216" s="268" t="s">
        <v>78</v>
      </c>
    </row>
    <row r="217" spans="1:6" x14ac:dyDescent="0.25">
      <c r="A217" s="58" t="s">
        <v>806</v>
      </c>
      <c r="C217" s="268" t="s">
        <v>739</v>
      </c>
    </row>
    <row r="218" spans="1:6" x14ac:dyDescent="0.25">
      <c r="A218" s="58" t="s">
        <v>806</v>
      </c>
      <c r="C218" s="268" t="s">
        <v>740</v>
      </c>
    </row>
    <row r="219" spans="1:6" x14ac:dyDescent="0.25">
      <c r="A219" s="58" t="s">
        <v>806</v>
      </c>
      <c r="C219" s="268" t="s">
        <v>676</v>
      </c>
    </row>
    <row r="220" spans="1:6" x14ac:dyDescent="0.25">
      <c r="A220" s="58" t="s">
        <v>806</v>
      </c>
      <c r="C220" s="268" t="s">
        <v>677</v>
      </c>
    </row>
    <row r="221" spans="1:6" s="243" customFormat="1" ht="15.75" thickBot="1" x14ac:dyDescent="0.3">
      <c r="A221" s="243" t="s">
        <v>806</v>
      </c>
      <c r="C221" s="243" t="s">
        <v>808</v>
      </c>
    </row>
    <row r="222" spans="1:6" x14ac:dyDescent="0.25">
      <c r="A222" s="58" t="s">
        <v>809</v>
      </c>
      <c r="C222" s="58" t="s">
        <v>730</v>
      </c>
    </row>
    <row r="223" spans="1:6" x14ac:dyDescent="0.25">
      <c r="A223" s="58" t="s">
        <v>809</v>
      </c>
      <c r="C223" s="267" t="s">
        <v>512</v>
      </c>
    </row>
    <row r="224" spans="1:6" x14ac:dyDescent="0.25">
      <c r="A224" s="58" t="s">
        <v>809</v>
      </c>
      <c r="C224" s="267" t="s">
        <v>80</v>
      </c>
    </row>
    <row r="225" spans="1:5" x14ac:dyDescent="0.25">
      <c r="A225" s="58" t="s">
        <v>809</v>
      </c>
      <c r="C225" s="267" t="s">
        <v>82</v>
      </c>
    </row>
    <row r="226" spans="1:5" x14ac:dyDescent="0.25">
      <c r="A226" s="58" t="s">
        <v>809</v>
      </c>
      <c r="C226" s="267" t="s">
        <v>81</v>
      </c>
    </row>
    <row r="227" spans="1:5" x14ac:dyDescent="0.25">
      <c r="A227" s="58" t="s">
        <v>809</v>
      </c>
      <c r="C227" s="58" t="s">
        <v>675</v>
      </c>
    </row>
    <row r="228" spans="1:5" x14ac:dyDescent="0.25">
      <c r="A228" s="58" t="s">
        <v>809</v>
      </c>
      <c r="C228" s="267" t="s">
        <v>729</v>
      </c>
    </row>
    <row r="229" spans="1:5" x14ac:dyDescent="0.25">
      <c r="A229" s="58" t="s">
        <v>809</v>
      </c>
      <c r="C229" s="267" t="s">
        <v>743</v>
      </c>
      <c r="E229" s="58" t="s">
        <v>815</v>
      </c>
    </row>
    <row r="230" spans="1:5" x14ac:dyDescent="0.25">
      <c r="A230" s="58" t="s">
        <v>809</v>
      </c>
      <c r="C230" s="269" t="s">
        <v>728</v>
      </c>
    </row>
    <row r="231" spans="1:5" s="243" customFormat="1" ht="15.75" thickBot="1" x14ac:dyDescent="0.3">
      <c r="A231" s="243" t="s">
        <v>809</v>
      </c>
      <c r="C231" s="270" t="s">
        <v>810</v>
      </c>
    </row>
    <row r="232" spans="1:5" x14ac:dyDescent="0.25">
      <c r="A232" s="58" t="s">
        <v>811</v>
      </c>
      <c r="C232" s="267" t="s">
        <v>723</v>
      </c>
      <c r="E232" s="58" t="s">
        <v>815</v>
      </c>
    </row>
    <row r="233" spans="1:5" x14ac:dyDescent="0.25">
      <c r="A233" s="58" t="s">
        <v>811</v>
      </c>
      <c r="C233" s="267" t="s">
        <v>512</v>
      </c>
    </row>
    <row r="234" spans="1:5" x14ac:dyDescent="0.25">
      <c r="A234" s="58" t="s">
        <v>811</v>
      </c>
      <c r="C234" s="267" t="s">
        <v>724</v>
      </c>
      <c r="E234" s="58" t="s">
        <v>815</v>
      </c>
    </row>
    <row r="235" spans="1:5" x14ac:dyDescent="0.25">
      <c r="A235" s="58" t="s">
        <v>811</v>
      </c>
      <c r="C235" s="267" t="s">
        <v>81</v>
      </c>
    </row>
    <row r="236" spans="1:5" x14ac:dyDescent="0.25">
      <c r="A236" s="58" t="s">
        <v>811</v>
      </c>
      <c r="C236" s="58" t="s">
        <v>675</v>
      </c>
    </row>
    <row r="237" spans="1:5" x14ac:dyDescent="0.25">
      <c r="A237" s="58" t="s">
        <v>811</v>
      </c>
      <c r="C237" s="267" t="s">
        <v>744</v>
      </c>
      <c r="E237" s="58" t="s">
        <v>815</v>
      </c>
    </row>
    <row r="238" spans="1:5" x14ac:dyDescent="0.25">
      <c r="A238" s="58" t="s">
        <v>811</v>
      </c>
      <c r="C238" s="58" t="s">
        <v>812</v>
      </c>
      <c r="E238" s="58" t="s">
        <v>815</v>
      </c>
    </row>
    <row r="239" spans="1:5" x14ac:dyDescent="0.25">
      <c r="A239" s="58" t="s">
        <v>811</v>
      </c>
      <c r="C239" s="58" t="s">
        <v>814</v>
      </c>
      <c r="E239" s="58" t="s">
        <v>815</v>
      </c>
    </row>
    <row r="240" spans="1:5" s="243" customFormat="1" ht="15.75" thickBot="1" x14ac:dyDescent="0.3">
      <c r="A240" s="243" t="s">
        <v>811</v>
      </c>
      <c r="C240" s="243" t="s">
        <v>813</v>
      </c>
    </row>
  </sheetData>
  <sheetProtection formatColumns="0" formatRows="0"/>
  <dataValidations count="9">
    <dataValidation type="list" errorStyle="warning" showInputMessage="1" showErrorMessage="1" errorTitle="SmartDox" error="The value you entered for the dropdown is not valid." sqref="F17 F37 F33 F29 F25 F21" xr:uid="{67DD7F93-014F-429A-A128-129DEFA929B7}">
      <formula1>SD_D_PL_Jurisdiction_Name</formula1>
    </dataValidation>
    <dataValidation type="list" errorStyle="warning" showInputMessage="1" showErrorMessage="1" errorTitle="SmartDox" error="The value you entered for the dropdown is not valid." sqref="F7" xr:uid="{55AD2E23-903A-4651-BBC0-27F0ACA0F19F}">
      <formula1>SD_D_PL_UDF_258_Name</formula1>
    </dataValidation>
    <dataValidation type="list" errorStyle="warning" showInputMessage="1" showErrorMessage="1" errorTitle="SmartDox" error="The value you entered for the dropdown is not valid." sqref="F8" xr:uid="{67B8EB3E-042D-4545-AC53-A26AD099D578}">
      <formula1>SD_D_PL_UDF_259_Name</formula1>
    </dataValidation>
    <dataValidation type="list" errorStyle="warning" showInputMessage="1" showErrorMessage="1" errorTitle="SmartDox" error="The value you entered for the dropdown is not valid." sqref="F9" xr:uid="{C8D06803-5A4C-4DBD-9E7B-251F69F085FA}">
      <formula1>SD_D_PL_UDF_460_Name</formula1>
    </dataValidation>
    <dataValidation type="list" errorStyle="warning" showInputMessage="1" showErrorMessage="1" errorTitle="SmartDox" error="The value you entered for the dropdown is not valid." sqref="F107 F131 F128 F125 F122 F119 F116 F194 F113 F191 F188 F185 F182 F179 F176 F173 F170 F167 F164 F110 F161 F158 F155 F152 F149 F146 F143 F140 F137 F134" xr:uid="{D68B1986-26B2-43BE-89B7-731411976E4B}">
      <formula1>SD_D_PL_TCUnitMixType_Name</formula1>
    </dataValidation>
    <dataValidation type="list" errorStyle="warning" showInputMessage="1" showErrorMessage="1" errorTitle="SmartDox" error="The value you entered for the dropdown is not valid." sqref="F109 F133 F130 F127 F124 F121 F118 F196 F115 F193 F190 F187 F184 F181 F178 F175 F172 F169 F166 F112 F163 F160 F157 F154 F151 F148 F145 F142 F139 F136" xr:uid="{365388E3-6B30-43EB-A2FA-04FF407CB6D2}">
      <formula1>SD_D_PL_IncomeTarget_Name</formula1>
    </dataValidation>
    <dataValidation type="list" errorStyle="warning" showInputMessage="1" showErrorMessage="1" errorTitle="SmartDox" error="The value you entered for the dropdown is not valid." sqref="F44 F102 F90 F78 F66 F55" xr:uid="{39332BEE-AEE0-44AF-BCF4-C04C5D10149E}">
      <formula1>SD_D_PL_State_Name</formula1>
    </dataValidation>
    <dataValidation type="list" errorStyle="warning" showInputMessage="1" showErrorMessage="1" errorTitle="SmartDox" error="The value you entered for the dropdown is not valid." sqref="F38 F95 F83 F71 F60 F49" xr:uid="{B72AAD14-7C73-4077-963B-49B2FFB48A90}">
      <formula1>SD_D_PL_EntityCompanyOrIndividual_Name</formula1>
    </dataValidation>
    <dataValidation type="list" errorStyle="warning" showInputMessage="1" showErrorMessage="1" errorTitle="SmartDox" error="The value you entered for the dropdown is not valid." sqref="F39 F96 F84 F72 F61 F50" xr:uid="{C7F8FBE5-9B50-44BE-8933-9DFEF7634D36}">
      <formula1>SD_D_PL_DealEntityRole_Name</formula1>
    </dataValidation>
  </dataValidation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EF62"/>
  <sheetViews>
    <sheetView workbookViewId="0"/>
  </sheetViews>
  <sheetFormatPr defaultRowHeight="15" x14ac:dyDescent="0.25"/>
  <sheetData>
    <row r="2" spans="3:136" x14ac:dyDescent="0.25">
      <c r="C2" s="49" t="s">
        <v>416</v>
      </c>
      <c r="D2">
        <v>28</v>
      </c>
      <c r="E2" s="49" t="s">
        <v>444</v>
      </c>
      <c r="F2" t="s">
        <v>444</v>
      </c>
      <c r="G2" s="49" t="s">
        <v>444</v>
      </c>
      <c r="H2" t="s">
        <v>444</v>
      </c>
      <c r="I2" s="49" t="s">
        <v>444</v>
      </c>
      <c r="J2" t="s">
        <v>444</v>
      </c>
      <c r="K2" s="49" t="s">
        <v>468</v>
      </c>
      <c r="L2">
        <v>1</v>
      </c>
      <c r="M2" s="49" t="s">
        <v>517</v>
      </c>
      <c r="N2">
        <v>1</v>
      </c>
      <c r="O2" s="49" t="s">
        <v>519</v>
      </c>
      <c r="P2">
        <v>37</v>
      </c>
      <c r="Q2" s="49" t="s">
        <v>553</v>
      </c>
      <c r="R2">
        <v>1</v>
      </c>
      <c r="S2" s="49" t="s">
        <v>468</v>
      </c>
      <c r="T2">
        <v>1</v>
      </c>
      <c r="U2" s="49" t="s">
        <v>448</v>
      </c>
      <c r="V2">
        <v>1</v>
      </c>
      <c r="W2" s="49" t="s">
        <v>614</v>
      </c>
      <c r="X2">
        <v>13</v>
      </c>
      <c r="Y2" s="49" t="s">
        <v>614</v>
      </c>
      <c r="Z2">
        <v>43</v>
      </c>
      <c r="AA2" s="49" t="s">
        <v>553</v>
      </c>
      <c r="AB2">
        <v>1</v>
      </c>
      <c r="AC2" s="49" t="s">
        <v>517</v>
      </c>
      <c r="AD2">
        <v>1</v>
      </c>
      <c r="AE2" s="49" t="s">
        <v>519</v>
      </c>
      <c r="AF2">
        <v>37</v>
      </c>
      <c r="AG2" s="49" t="s">
        <v>453</v>
      </c>
      <c r="AH2">
        <v>7</v>
      </c>
      <c r="AI2" s="49" t="s">
        <v>36</v>
      </c>
      <c r="AJ2">
        <v>11</v>
      </c>
      <c r="AK2" s="49" t="s">
        <v>468</v>
      </c>
      <c r="AL2">
        <v>1</v>
      </c>
      <c r="AM2" s="49" t="s">
        <v>696</v>
      </c>
      <c r="AN2">
        <v>30</v>
      </c>
      <c r="AO2" s="49" t="s">
        <v>448</v>
      </c>
      <c r="AP2">
        <v>1</v>
      </c>
      <c r="AQ2" s="49" t="s">
        <v>614</v>
      </c>
      <c r="AR2">
        <v>13</v>
      </c>
      <c r="AS2" s="49" t="s">
        <v>614</v>
      </c>
      <c r="AT2">
        <v>43</v>
      </c>
      <c r="AU2" s="49" t="s">
        <v>453</v>
      </c>
      <c r="AV2">
        <v>7</v>
      </c>
      <c r="AW2" s="49" t="s">
        <v>36</v>
      </c>
      <c r="AX2">
        <v>11</v>
      </c>
      <c r="AY2" s="49" t="s">
        <v>553</v>
      </c>
      <c r="AZ2">
        <v>1</v>
      </c>
      <c r="BA2" s="49" t="s">
        <v>517</v>
      </c>
      <c r="BB2">
        <v>1</v>
      </c>
      <c r="BC2" s="49" t="s">
        <v>545</v>
      </c>
      <c r="BD2">
        <v>4</v>
      </c>
      <c r="BE2" s="49" t="s">
        <v>448</v>
      </c>
      <c r="BF2">
        <v>104</v>
      </c>
      <c r="BG2" s="49" t="s">
        <v>141</v>
      </c>
      <c r="BH2">
        <v>122</v>
      </c>
      <c r="BI2" s="49" t="s">
        <v>468</v>
      </c>
      <c r="BJ2">
        <v>1</v>
      </c>
      <c r="BK2" s="49" t="s">
        <v>751</v>
      </c>
      <c r="BL2">
        <v>39</v>
      </c>
      <c r="BM2" s="49" t="s">
        <v>614</v>
      </c>
      <c r="BN2">
        <v>13</v>
      </c>
      <c r="BO2" s="49" t="s">
        <v>614</v>
      </c>
      <c r="BP2">
        <v>43</v>
      </c>
      <c r="BQ2" s="49" t="s">
        <v>448</v>
      </c>
      <c r="BR2">
        <v>104</v>
      </c>
      <c r="BS2" s="49" t="s">
        <v>141</v>
      </c>
      <c r="BT2">
        <v>122</v>
      </c>
      <c r="BU2" s="49" t="s">
        <v>453</v>
      </c>
      <c r="BV2">
        <v>7</v>
      </c>
      <c r="BW2" s="49" t="s">
        <v>792</v>
      </c>
      <c r="BX2">
        <v>15</v>
      </c>
      <c r="BY2" s="49" t="s">
        <v>553</v>
      </c>
      <c r="BZ2">
        <v>1</v>
      </c>
      <c r="CA2" s="49" t="s">
        <v>517</v>
      </c>
      <c r="CB2">
        <v>1</v>
      </c>
      <c r="CC2" s="49" t="s">
        <v>519</v>
      </c>
      <c r="CD2">
        <v>37</v>
      </c>
      <c r="CE2" s="49" t="s">
        <v>468</v>
      </c>
      <c r="CF2">
        <v>1</v>
      </c>
      <c r="CG2" s="49" t="s">
        <v>751</v>
      </c>
      <c r="CH2">
        <v>39</v>
      </c>
      <c r="CI2" s="49" t="s">
        <v>614</v>
      </c>
      <c r="CJ2">
        <v>13</v>
      </c>
      <c r="CK2" s="49" t="s">
        <v>614</v>
      </c>
      <c r="CL2">
        <v>43</v>
      </c>
      <c r="CM2" s="49" t="s">
        <v>448</v>
      </c>
      <c r="CN2">
        <v>104</v>
      </c>
      <c r="CO2" s="49" t="s">
        <v>141</v>
      </c>
      <c r="CP2">
        <v>122</v>
      </c>
      <c r="CQ2" s="49" t="s">
        <v>453</v>
      </c>
      <c r="CR2">
        <v>7</v>
      </c>
      <c r="CS2" s="49" t="s">
        <v>792</v>
      </c>
      <c r="CT2">
        <v>15</v>
      </c>
      <c r="CU2" s="49" t="s">
        <v>553</v>
      </c>
      <c r="CV2">
        <v>1</v>
      </c>
      <c r="CW2" s="49" t="s">
        <v>517</v>
      </c>
      <c r="CX2">
        <v>1</v>
      </c>
      <c r="CY2" s="49" t="s">
        <v>519</v>
      </c>
      <c r="CZ2">
        <v>37</v>
      </c>
      <c r="DA2" s="49" t="s">
        <v>818</v>
      </c>
      <c r="DB2">
        <v>128</v>
      </c>
      <c r="DC2" s="49" t="s">
        <v>820</v>
      </c>
      <c r="DD2">
        <v>124</v>
      </c>
      <c r="DE2" s="49" t="s">
        <v>468</v>
      </c>
      <c r="DF2">
        <v>1</v>
      </c>
      <c r="DG2" s="49" t="s">
        <v>751</v>
      </c>
      <c r="DH2">
        <v>39</v>
      </c>
      <c r="DI2" s="49" t="s">
        <v>614</v>
      </c>
      <c r="DJ2">
        <v>13</v>
      </c>
      <c r="DK2" s="49" t="s">
        <v>614</v>
      </c>
      <c r="DL2">
        <v>43</v>
      </c>
      <c r="DM2" s="49" t="s">
        <v>448</v>
      </c>
      <c r="DN2">
        <v>104</v>
      </c>
      <c r="DO2" s="49" t="s">
        <v>141</v>
      </c>
      <c r="DP2">
        <v>122</v>
      </c>
      <c r="DQ2" s="49" t="s">
        <v>820</v>
      </c>
      <c r="DR2">
        <v>124</v>
      </c>
      <c r="DS2" s="49" t="s">
        <v>818</v>
      </c>
      <c r="DT2">
        <v>128</v>
      </c>
      <c r="DU2" s="49" t="s">
        <v>453</v>
      </c>
      <c r="DV2">
        <v>7</v>
      </c>
      <c r="DW2" s="49" t="s">
        <v>792</v>
      </c>
      <c r="DX2">
        <v>15</v>
      </c>
      <c r="DY2" s="49" t="s">
        <v>553</v>
      </c>
      <c r="DZ2">
        <v>1</v>
      </c>
      <c r="EA2" s="49" t="s">
        <v>517</v>
      </c>
      <c r="EB2">
        <v>1</v>
      </c>
      <c r="EC2" s="49" t="s">
        <v>519</v>
      </c>
      <c r="ED2">
        <v>37</v>
      </c>
      <c r="EE2" s="49" t="s">
        <v>822</v>
      </c>
      <c r="EF2">
        <v>129</v>
      </c>
    </row>
    <row r="3" spans="3:136" x14ac:dyDescent="0.25">
      <c r="C3" s="49" t="s">
        <v>417</v>
      </c>
      <c r="D3">
        <v>9</v>
      </c>
      <c r="K3" s="49" t="s">
        <v>469</v>
      </c>
      <c r="L3">
        <v>2</v>
      </c>
      <c r="M3" s="49" t="s">
        <v>518</v>
      </c>
      <c r="N3">
        <v>2</v>
      </c>
      <c r="O3" s="49" t="s">
        <v>520</v>
      </c>
      <c r="P3">
        <v>26</v>
      </c>
      <c r="Q3" s="49" t="s">
        <v>554</v>
      </c>
      <c r="R3">
        <v>2</v>
      </c>
      <c r="S3" s="49" t="s">
        <v>469</v>
      </c>
      <c r="T3">
        <v>2</v>
      </c>
      <c r="U3" s="49" t="s">
        <v>449</v>
      </c>
      <c r="V3">
        <v>2</v>
      </c>
      <c r="W3" s="49" t="s">
        <v>615</v>
      </c>
      <c r="X3">
        <v>14</v>
      </c>
      <c r="Y3" s="49" t="s">
        <v>615</v>
      </c>
      <c r="Z3">
        <v>44</v>
      </c>
      <c r="AA3" s="49" t="s">
        <v>554</v>
      </c>
      <c r="AB3">
        <v>2</v>
      </c>
      <c r="AC3" s="49" t="s">
        <v>518</v>
      </c>
      <c r="AD3">
        <v>2</v>
      </c>
      <c r="AE3" s="49" t="s">
        <v>520</v>
      </c>
      <c r="AF3">
        <v>26</v>
      </c>
      <c r="AG3" s="49" t="s">
        <v>681</v>
      </c>
      <c r="AH3">
        <v>1</v>
      </c>
      <c r="AI3" s="49" t="s">
        <v>37</v>
      </c>
      <c r="AJ3">
        <v>1</v>
      </c>
      <c r="AK3" s="49" t="s">
        <v>469</v>
      </c>
      <c r="AL3">
        <v>2</v>
      </c>
      <c r="AM3" s="49" t="s">
        <v>416</v>
      </c>
      <c r="AN3">
        <v>28</v>
      </c>
      <c r="AO3" s="49" t="s">
        <v>449</v>
      </c>
      <c r="AP3">
        <v>2</v>
      </c>
      <c r="AQ3" s="49" t="s">
        <v>615</v>
      </c>
      <c r="AR3">
        <v>14</v>
      </c>
      <c r="AS3" s="49" t="s">
        <v>615</v>
      </c>
      <c r="AT3">
        <v>44</v>
      </c>
      <c r="AU3" s="49" t="s">
        <v>681</v>
      </c>
      <c r="AV3">
        <v>1</v>
      </c>
      <c r="AW3" s="49" t="s">
        <v>37</v>
      </c>
      <c r="AX3">
        <v>1</v>
      </c>
      <c r="AY3" s="49" t="s">
        <v>554</v>
      </c>
      <c r="AZ3">
        <v>2</v>
      </c>
      <c r="BA3" s="49" t="s">
        <v>518</v>
      </c>
      <c r="BB3">
        <v>2</v>
      </c>
      <c r="BC3" s="49" t="s">
        <v>519</v>
      </c>
      <c r="BD3">
        <v>37</v>
      </c>
      <c r="BE3" s="49" t="s">
        <v>449</v>
      </c>
      <c r="BF3">
        <v>105</v>
      </c>
      <c r="BG3" s="49" t="s">
        <v>746</v>
      </c>
      <c r="BH3">
        <v>123</v>
      </c>
      <c r="BI3" s="49" t="s">
        <v>469</v>
      </c>
      <c r="BJ3">
        <v>2</v>
      </c>
      <c r="BK3" s="49" t="s">
        <v>696</v>
      </c>
      <c r="BL3">
        <v>30</v>
      </c>
      <c r="BM3" s="49" t="s">
        <v>615</v>
      </c>
      <c r="BN3">
        <v>14</v>
      </c>
      <c r="BO3" s="49" t="s">
        <v>615</v>
      </c>
      <c r="BP3">
        <v>44</v>
      </c>
      <c r="BQ3" s="49" t="s">
        <v>449</v>
      </c>
      <c r="BR3">
        <v>105</v>
      </c>
      <c r="BS3" s="49" t="s">
        <v>746</v>
      </c>
      <c r="BT3">
        <v>123</v>
      </c>
      <c r="BU3" s="49" t="s">
        <v>681</v>
      </c>
      <c r="BV3">
        <v>1</v>
      </c>
      <c r="BW3" s="49" t="s">
        <v>36</v>
      </c>
      <c r="BX3">
        <v>11</v>
      </c>
      <c r="BY3" s="49" t="s">
        <v>554</v>
      </c>
      <c r="BZ3">
        <v>2</v>
      </c>
      <c r="CA3" s="49" t="s">
        <v>518</v>
      </c>
      <c r="CB3">
        <v>2</v>
      </c>
      <c r="CC3" s="49" t="s">
        <v>795</v>
      </c>
      <c r="CD3">
        <v>48</v>
      </c>
      <c r="CE3" s="49" t="s">
        <v>469</v>
      </c>
      <c r="CF3">
        <v>2</v>
      </c>
      <c r="CG3" s="49" t="s">
        <v>696</v>
      </c>
      <c r="CH3">
        <v>30</v>
      </c>
      <c r="CI3" s="49" t="s">
        <v>615</v>
      </c>
      <c r="CJ3">
        <v>14</v>
      </c>
      <c r="CK3" s="49" t="s">
        <v>615</v>
      </c>
      <c r="CL3">
        <v>44</v>
      </c>
      <c r="CM3" s="49" t="s">
        <v>449</v>
      </c>
      <c r="CN3">
        <v>105</v>
      </c>
      <c r="CO3" s="49" t="s">
        <v>746</v>
      </c>
      <c r="CP3">
        <v>123</v>
      </c>
      <c r="CQ3" s="49" t="s">
        <v>681</v>
      </c>
      <c r="CR3">
        <v>1</v>
      </c>
      <c r="CS3" s="49" t="s">
        <v>36</v>
      </c>
      <c r="CT3">
        <v>11</v>
      </c>
      <c r="CU3" s="49" t="s">
        <v>554</v>
      </c>
      <c r="CV3">
        <v>2</v>
      </c>
      <c r="CW3" s="49" t="s">
        <v>518</v>
      </c>
      <c r="CX3">
        <v>2</v>
      </c>
      <c r="CY3" s="49" t="s">
        <v>795</v>
      </c>
      <c r="CZ3">
        <v>48</v>
      </c>
      <c r="DA3" s="49" t="s">
        <v>819</v>
      </c>
      <c r="DB3">
        <v>127</v>
      </c>
      <c r="DC3" s="49" t="s">
        <v>821</v>
      </c>
      <c r="DD3">
        <v>125</v>
      </c>
      <c r="DE3" s="49" t="s">
        <v>469</v>
      </c>
      <c r="DF3">
        <v>2</v>
      </c>
      <c r="DG3" s="49" t="s">
        <v>696</v>
      </c>
      <c r="DH3">
        <v>30</v>
      </c>
      <c r="DI3" s="49" t="s">
        <v>615</v>
      </c>
      <c r="DJ3">
        <v>14</v>
      </c>
      <c r="DK3" s="49" t="s">
        <v>615</v>
      </c>
      <c r="DL3">
        <v>44</v>
      </c>
      <c r="DM3" s="49" t="s">
        <v>449</v>
      </c>
      <c r="DN3">
        <v>105</v>
      </c>
      <c r="DO3" s="49" t="s">
        <v>746</v>
      </c>
      <c r="DP3">
        <v>123</v>
      </c>
      <c r="DQ3" s="49" t="s">
        <v>821</v>
      </c>
      <c r="DR3">
        <v>125</v>
      </c>
      <c r="DS3" s="49" t="s">
        <v>819</v>
      </c>
      <c r="DT3">
        <v>127</v>
      </c>
      <c r="DU3" s="49" t="s">
        <v>681</v>
      </c>
      <c r="DV3">
        <v>1</v>
      </c>
      <c r="DW3" s="49" t="s">
        <v>36</v>
      </c>
      <c r="DX3">
        <v>11</v>
      </c>
      <c r="DY3" s="49" t="s">
        <v>554</v>
      </c>
      <c r="DZ3">
        <v>2</v>
      </c>
      <c r="EA3" s="49" t="s">
        <v>518</v>
      </c>
      <c r="EB3">
        <v>2</v>
      </c>
      <c r="EC3" s="49" t="s">
        <v>795</v>
      </c>
      <c r="ED3">
        <v>48</v>
      </c>
      <c r="EE3" s="49" t="s">
        <v>823</v>
      </c>
      <c r="EF3">
        <v>130</v>
      </c>
    </row>
    <row r="4" spans="3:136" x14ac:dyDescent="0.25">
      <c r="C4" s="49" t="s">
        <v>418</v>
      </c>
      <c r="D4">
        <v>4</v>
      </c>
      <c r="K4" s="49" t="s">
        <v>470</v>
      </c>
      <c r="L4">
        <v>3</v>
      </c>
      <c r="O4" s="49" t="s">
        <v>521</v>
      </c>
      <c r="P4">
        <v>7</v>
      </c>
      <c r="Q4" s="49" t="s">
        <v>555</v>
      </c>
      <c r="R4">
        <v>3</v>
      </c>
      <c r="S4" s="49" t="s">
        <v>470</v>
      </c>
      <c r="T4">
        <v>3</v>
      </c>
      <c r="U4" s="49" t="s">
        <v>450</v>
      </c>
      <c r="V4">
        <v>3</v>
      </c>
      <c r="W4" s="49" t="s">
        <v>616</v>
      </c>
      <c r="X4">
        <v>15</v>
      </c>
      <c r="Y4" s="49" t="s">
        <v>616</v>
      </c>
      <c r="Z4">
        <v>45</v>
      </c>
      <c r="AA4" s="49" t="s">
        <v>555</v>
      </c>
      <c r="AB4">
        <v>3</v>
      </c>
      <c r="AE4" s="49" t="s">
        <v>521</v>
      </c>
      <c r="AF4">
        <v>7</v>
      </c>
      <c r="AG4" s="49" t="s">
        <v>682</v>
      </c>
      <c r="AH4">
        <v>2</v>
      </c>
      <c r="AI4" s="49" t="s">
        <v>38</v>
      </c>
      <c r="AJ4">
        <v>2</v>
      </c>
      <c r="AK4" s="49" t="s">
        <v>470</v>
      </c>
      <c r="AL4">
        <v>3</v>
      </c>
      <c r="AM4" s="49" t="s">
        <v>417</v>
      </c>
      <c r="AN4">
        <v>9</v>
      </c>
      <c r="AO4" s="49" t="s">
        <v>450</v>
      </c>
      <c r="AP4">
        <v>3</v>
      </c>
      <c r="AQ4" s="49" t="s">
        <v>616</v>
      </c>
      <c r="AR4">
        <v>15</v>
      </c>
      <c r="AS4" s="49" t="s">
        <v>616</v>
      </c>
      <c r="AT4">
        <v>45</v>
      </c>
      <c r="AU4" s="49" t="s">
        <v>682</v>
      </c>
      <c r="AV4">
        <v>2</v>
      </c>
      <c r="AW4" s="49" t="s">
        <v>38</v>
      </c>
      <c r="AX4">
        <v>2</v>
      </c>
      <c r="AY4" s="49" t="s">
        <v>555</v>
      </c>
      <c r="AZ4">
        <v>3</v>
      </c>
      <c r="BC4" s="49" t="s">
        <v>546</v>
      </c>
      <c r="BD4">
        <v>5</v>
      </c>
      <c r="BE4" s="49" t="s">
        <v>450</v>
      </c>
      <c r="BF4">
        <v>106</v>
      </c>
      <c r="BI4" s="49" t="s">
        <v>470</v>
      </c>
      <c r="BJ4">
        <v>3</v>
      </c>
      <c r="BK4" s="49" t="s">
        <v>752</v>
      </c>
      <c r="BL4">
        <v>41</v>
      </c>
      <c r="BM4" s="49" t="s">
        <v>616</v>
      </c>
      <c r="BN4">
        <v>15</v>
      </c>
      <c r="BO4" s="49" t="s">
        <v>616</v>
      </c>
      <c r="BP4">
        <v>45</v>
      </c>
      <c r="BQ4" s="49" t="s">
        <v>450</v>
      </c>
      <c r="BR4">
        <v>106</v>
      </c>
      <c r="BU4" s="49" t="s">
        <v>682</v>
      </c>
      <c r="BV4">
        <v>2</v>
      </c>
      <c r="BW4" s="49" t="s">
        <v>37</v>
      </c>
      <c r="BX4">
        <v>1</v>
      </c>
      <c r="BY4" s="49" t="s">
        <v>555</v>
      </c>
      <c r="BZ4">
        <v>3</v>
      </c>
      <c r="CC4" s="49" t="s">
        <v>796</v>
      </c>
      <c r="CD4">
        <v>-1</v>
      </c>
      <c r="CE4" s="49" t="s">
        <v>470</v>
      </c>
      <c r="CF4">
        <v>3</v>
      </c>
      <c r="CG4" s="49" t="s">
        <v>752</v>
      </c>
      <c r="CH4">
        <v>41</v>
      </c>
      <c r="CI4" s="49" t="s">
        <v>616</v>
      </c>
      <c r="CJ4">
        <v>15</v>
      </c>
      <c r="CK4" s="49" t="s">
        <v>616</v>
      </c>
      <c r="CL4">
        <v>45</v>
      </c>
      <c r="CM4" s="49" t="s">
        <v>450</v>
      </c>
      <c r="CN4">
        <v>106</v>
      </c>
      <c r="CQ4" s="49" t="s">
        <v>682</v>
      </c>
      <c r="CR4">
        <v>2</v>
      </c>
      <c r="CS4" s="49" t="s">
        <v>37</v>
      </c>
      <c r="CT4">
        <v>1</v>
      </c>
      <c r="CU4" s="49" t="s">
        <v>555</v>
      </c>
      <c r="CV4">
        <v>3</v>
      </c>
      <c r="CY4" s="49" t="s">
        <v>796</v>
      </c>
      <c r="CZ4">
        <v>-1</v>
      </c>
      <c r="DC4" s="49" t="s">
        <v>101</v>
      </c>
      <c r="DD4">
        <v>126</v>
      </c>
      <c r="DE4" s="49" t="s">
        <v>470</v>
      </c>
      <c r="DF4">
        <v>3</v>
      </c>
      <c r="DG4" s="49" t="s">
        <v>752</v>
      </c>
      <c r="DH4">
        <v>41</v>
      </c>
      <c r="DI4" s="49" t="s">
        <v>616</v>
      </c>
      <c r="DJ4">
        <v>15</v>
      </c>
      <c r="DK4" s="49" t="s">
        <v>616</v>
      </c>
      <c r="DL4">
        <v>45</v>
      </c>
      <c r="DM4" s="49" t="s">
        <v>450</v>
      </c>
      <c r="DN4">
        <v>106</v>
      </c>
      <c r="DQ4" s="49" t="s">
        <v>101</v>
      </c>
      <c r="DR4">
        <v>126</v>
      </c>
      <c r="DU4" s="49" t="s">
        <v>682</v>
      </c>
      <c r="DV4">
        <v>2</v>
      </c>
      <c r="DW4" s="49" t="s">
        <v>37</v>
      </c>
      <c r="DX4">
        <v>1</v>
      </c>
      <c r="DY4" s="49" t="s">
        <v>555</v>
      </c>
      <c r="DZ4">
        <v>3</v>
      </c>
      <c r="EC4" s="49" t="s">
        <v>796</v>
      </c>
      <c r="ED4">
        <v>-1</v>
      </c>
      <c r="EE4" s="49" t="s">
        <v>824</v>
      </c>
      <c r="EF4">
        <v>131</v>
      </c>
    </row>
    <row r="5" spans="3:136" x14ac:dyDescent="0.25">
      <c r="C5" s="49" t="s">
        <v>419</v>
      </c>
      <c r="D5">
        <v>24</v>
      </c>
      <c r="K5" s="49" t="s">
        <v>471</v>
      </c>
      <c r="L5">
        <v>4</v>
      </c>
      <c r="O5" s="49" t="s">
        <v>522</v>
      </c>
      <c r="P5">
        <v>29</v>
      </c>
      <c r="Q5" s="49" t="s">
        <v>556</v>
      </c>
      <c r="R5">
        <v>4</v>
      </c>
      <c r="S5" s="49" t="s">
        <v>471</v>
      </c>
      <c r="T5">
        <v>4</v>
      </c>
      <c r="U5" s="49" t="s">
        <v>451</v>
      </c>
      <c r="V5">
        <v>4</v>
      </c>
      <c r="W5" s="49" t="s">
        <v>617</v>
      </c>
      <c r="X5">
        <v>16</v>
      </c>
      <c r="Y5" s="49" t="s">
        <v>617</v>
      </c>
      <c r="Z5">
        <v>46</v>
      </c>
      <c r="AA5" s="49" t="s">
        <v>556</v>
      </c>
      <c r="AB5">
        <v>4</v>
      </c>
      <c r="AE5" s="49" t="s">
        <v>522</v>
      </c>
      <c r="AF5">
        <v>29</v>
      </c>
      <c r="AG5" s="49" t="s">
        <v>683</v>
      </c>
      <c r="AH5">
        <v>3</v>
      </c>
      <c r="AI5" s="49" t="s">
        <v>39</v>
      </c>
      <c r="AJ5">
        <v>3</v>
      </c>
      <c r="AK5" s="49" t="s">
        <v>471</v>
      </c>
      <c r="AL5">
        <v>4</v>
      </c>
      <c r="AM5" s="49" t="s">
        <v>418</v>
      </c>
      <c r="AN5">
        <v>4</v>
      </c>
      <c r="AO5" s="49" t="s">
        <v>451</v>
      </c>
      <c r="AP5">
        <v>4</v>
      </c>
      <c r="AQ5" s="49" t="s">
        <v>617</v>
      </c>
      <c r="AR5">
        <v>16</v>
      </c>
      <c r="AS5" s="49" t="s">
        <v>617</v>
      </c>
      <c r="AT5">
        <v>46</v>
      </c>
      <c r="AU5" s="49" t="s">
        <v>683</v>
      </c>
      <c r="AV5">
        <v>3</v>
      </c>
      <c r="AW5" s="49" t="s">
        <v>39</v>
      </c>
      <c r="AX5">
        <v>3</v>
      </c>
      <c r="AY5" s="49" t="s">
        <v>556</v>
      </c>
      <c r="AZ5">
        <v>4</v>
      </c>
      <c r="BC5" s="49" t="s">
        <v>520</v>
      </c>
      <c r="BD5">
        <v>26</v>
      </c>
      <c r="BE5" s="49" t="s">
        <v>451</v>
      </c>
      <c r="BF5">
        <v>107</v>
      </c>
      <c r="BI5" s="49" t="s">
        <v>471</v>
      </c>
      <c r="BJ5">
        <v>4</v>
      </c>
      <c r="BK5" s="49" t="s">
        <v>753</v>
      </c>
      <c r="BL5">
        <v>42</v>
      </c>
      <c r="BM5" s="49" t="s">
        <v>617</v>
      </c>
      <c r="BN5">
        <v>16</v>
      </c>
      <c r="BO5" s="49" t="s">
        <v>617</v>
      </c>
      <c r="BP5">
        <v>46</v>
      </c>
      <c r="BQ5" s="49" t="s">
        <v>451</v>
      </c>
      <c r="BR5">
        <v>107</v>
      </c>
      <c r="BU5" s="49" t="s">
        <v>683</v>
      </c>
      <c r="BV5">
        <v>3</v>
      </c>
      <c r="BW5" s="49" t="s">
        <v>38</v>
      </c>
      <c r="BX5">
        <v>2</v>
      </c>
      <c r="BY5" s="49" t="s">
        <v>556</v>
      </c>
      <c r="BZ5">
        <v>4</v>
      </c>
      <c r="CC5" s="49" t="s">
        <v>520</v>
      </c>
      <c r="CD5">
        <v>26</v>
      </c>
      <c r="CE5" s="49" t="s">
        <v>471</v>
      </c>
      <c r="CF5">
        <v>4</v>
      </c>
      <c r="CG5" s="49" t="s">
        <v>753</v>
      </c>
      <c r="CH5">
        <v>42</v>
      </c>
      <c r="CI5" s="49" t="s">
        <v>617</v>
      </c>
      <c r="CJ5">
        <v>16</v>
      </c>
      <c r="CK5" s="49" t="s">
        <v>617</v>
      </c>
      <c r="CL5">
        <v>46</v>
      </c>
      <c r="CM5" s="49" t="s">
        <v>451</v>
      </c>
      <c r="CN5">
        <v>107</v>
      </c>
      <c r="CQ5" s="49" t="s">
        <v>683</v>
      </c>
      <c r="CR5">
        <v>3</v>
      </c>
      <c r="CS5" s="49" t="s">
        <v>38</v>
      </c>
      <c r="CT5">
        <v>2</v>
      </c>
      <c r="CU5" s="49" t="s">
        <v>556</v>
      </c>
      <c r="CV5">
        <v>4</v>
      </c>
      <c r="CY5" s="49" t="s">
        <v>520</v>
      </c>
      <c r="CZ5">
        <v>26</v>
      </c>
      <c r="DE5" s="49" t="s">
        <v>471</v>
      </c>
      <c r="DF5">
        <v>4</v>
      </c>
      <c r="DG5" s="49" t="s">
        <v>753</v>
      </c>
      <c r="DH5">
        <v>42</v>
      </c>
      <c r="DI5" s="49" t="s">
        <v>617</v>
      </c>
      <c r="DJ5">
        <v>16</v>
      </c>
      <c r="DK5" s="49" t="s">
        <v>617</v>
      </c>
      <c r="DL5">
        <v>46</v>
      </c>
      <c r="DM5" s="49" t="s">
        <v>451</v>
      </c>
      <c r="DN5">
        <v>107</v>
      </c>
      <c r="DU5" s="49" t="s">
        <v>683</v>
      </c>
      <c r="DV5">
        <v>3</v>
      </c>
      <c r="DW5" s="49" t="s">
        <v>38</v>
      </c>
      <c r="DX5">
        <v>2</v>
      </c>
      <c r="DY5" s="49" t="s">
        <v>556</v>
      </c>
      <c r="DZ5">
        <v>4</v>
      </c>
      <c r="EC5" s="49" t="s">
        <v>520</v>
      </c>
      <c r="ED5">
        <v>26</v>
      </c>
      <c r="EE5" s="49" t="s">
        <v>825</v>
      </c>
      <c r="EF5">
        <v>132</v>
      </c>
    </row>
    <row r="6" spans="3:136" x14ac:dyDescent="0.25">
      <c r="C6" s="49" t="s">
        <v>420</v>
      </c>
      <c r="D6">
        <v>25</v>
      </c>
      <c r="K6" s="49" t="s">
        <v>472</v>
      </c>
      <c r="L6">
        <v>5</v>
      </c>
      <c r="O6" s="49" t="s">
        <v>64</v>
      </c>
      <c r="P6">
        <v>40</v>
      </c>
      <c r="Q6" s="49" t="s">
        <v>557</v>
      </c>
      <c r="R6">
        <v>5</v>
      </c>
      <c r="S6" s="49" t="s">
        <v>472</v>
      </c>
      <c r="T6">
        <v>5</v>
      </c>
      <c r="U6" s="49" t="s">
        <v>452</v>
      </c>
      <c r="V6">
        <v>5</v>
      </c>
      <c r="W6" s="49" t="s">
        <v>618</v>
      </c>
      <c r="X6">
        <v>17</v>
      </c>
      <c r="Y6" s="49" t="s">
        <v>618</v>
      </c>
      <c r="Z6">
        <v>47</v>
      </c>
      <c r="AA6" s="49" t="s">
        <v>557</v>
      </c>
      <c r="AB6">
        <v>5</v>
      </c>
      <c r="AE6" s="49" t="s">
        <v>674</v>
      </c>
      <c r="AF6">
        <v>41</v>
      </c>
      <c r="AG6" s="49" t="s">
        <v>684</v>
      </c>
      <c r="AH6">
        <v>4</v>
      </c>
      <c r="AI6" s="49" t="s">
        <v>40</v>
      </c>
      <c r="AJ6">
        <v>12</v>
      </c>
      <c r="AK6" s="49" t="s">
        <v>472</v>
      </c>
      <c r="AL6">
        <v>5</v>
      </c>
      <c r="AM6" s="49" t="s">
        <v>697</v>
      </c>
      <c r="AN6">
        <v>31</v>
      </c>
      <c r="AO6" s="49" t="s">
        <v>452</v>
      </c>
      <c r="AP6">
        <v>5</v>
      </c>
      <c r="AQ6" s="49" t="s">
        <v>618</v>
      </c>
      <c r="AR6">
        <v>17</v>
      </c>
      <c r="AS6" s="49" t="s">
        <v>618</v>
      </c>
      <c r="AT6">
        <v>47</v>
      </c>
      <c r="AU6" s="49" t="s">
        <v>684</v>
      </c>
      <c r="AV6">
        <v>4</v>
      </c>
      <c r="AW6" s="49" t="s">
        <v>690</v>
      </c>
      <c r="AX6">
        <v>4</v>
      </c>
      <c r="AY6" s="49" t="s">
        <v>557</v>
      </c>
      <c r="AZ6">
        <v>5</v>
      </c>
      <c r="BC6" s="49" t="s">
        <v>521</v>
      </c>
      <c r="BD6">
        <v>7</v>
      </c>
      <c r="BE6" s="49" t="s">
        <v>452</v>
      </c>
      <c r="BF6">
        <v>108</v>
      </c>
      <c r="BI6" s="49" t="s">
        <v>472</v>
      </c>
      <c r="BJ6">
        <v>5</v>
      </c>
      <c r="BK6" s="49" t="s">
        <v>754</v>
      </c>
      <c r="BL6">
        <v>43</v>
      </c>
      <c r="BM6" s="49" t="s">
        <v>618</v>
      </c>
      <c r="BN6">
        <v>17</v>
      </c>
      <c r="BO6" s="49" t="s">
        <v>618</v>
      </c>
      <c r="BP6">
        <v>47</v>
      </c>
      <c r="BQ6" s="49" t="s">
        <v>452</v>
      </c>
      <c r="BR6">
        <v>108</v>
      </c>
      <c r="BU6" s="49" t="s">
        <v>684</v>
      </c>
      <c r="BV6">
        <v>4</v>
      </c>
      <c r="BW6" s="49" t="s">
        <v>39</v>
      </c>
      <c r="BX6">
        <v>3</v>
      </c>
      <c r="BY6" s="49" t="s">
        <v>557</v>
      </c>
      <c r="BZ6">
        <v>5</v>
      </c>
      <c r="CC6" s="49" t="s">
        <v>521</v>
      </c>
      <c r="CD6">
        <v>7</v>
      </c>
      <c r="CE6" s="49" t="s">
        <v>472</v>
      </c>
      <c r="CF6">
        <v>5</v>
      </c>
      <c r="CG6" s="49" t="s">
        <v>754</v>
      </c>
      <c r="CH6">
        <v>43</v>
      </c>
      <c r="CI6" s="49" t="s">
        <v>618</v>
      </c>
      <c r="CJ6">
        <v>17</v>
      </c>
      <c r="CK6" s="49" t="s">
        <v>618</v>
      </c>
      <c r="CL6">
        <v>47</v>
      </c>
      <c r="CM6" s="49" t="s">
        <v>452</v>
      </c>
      <c r="CN6">
        <v>108</v>
      </c>
      <c r="CQ6" s="49" t="s">
        <v>684</v>
      </c>
      <c r="CR6">
        <v>4</v>
      </c>
      <c r="CS6" s="49" t="s">
        <v>39</v>
      </c>
      <c r="CT6">
        <v>3</v>
      </c>
      <c r="CU6" s="49" t="s">
        <v>557</v>
      </c>
      <c r="CV6">
        <v>5</v>
      </c>
      <c r="CY6" s="49" t="s">
        <v>521</v>
      </c>
      <c r="CZ6">
        <v>7</v>
      </c>
      <c r="DE6" s="49" t="s">
        <v>472</v>
      </c>
      <c r="DF6">
        <v>5</v>
      </c>
      <c r="DG6" s="49" t="s">
        <v>754</v>
      </c>
      <c r="DH6">
        <v>43</v>
      </c>
      <c r="DI6" s="49" t="s">
        <v>618</v>
      </c>
      <c r="DJ6">
        <v>17</v>
      </c>
      <c r="DK6" s="49" t="s">
        <v>618</v>
      </c>
      <c r="DL6">
        <v>47</v>
      </c>
      <c r="DM6" s="49" t="s">
        <v>452</v>
      </c>
      <c r="DN6">
        <v>108</v>
      </c>
      <c r="DU6" s="49" t="s">
        <v>684</v>
      </c>
      <c r="DV6">
        <v>4</v>
      </c>
      <c r="DW6" s="49" t="s">
        <v>39</v>
      </c>
      <c r="DX6">
        <v>3</v>
      </c>
      <c r="DY6" s="49" t="s">
        <v>557</v>
      </c>
      <c r="DZ6">
        <v>5</v>
      </c>
      <c r="EC6" s="49" t="s">
        <v>521</v>
      </c>
      <c r="ED6">
        <v>7</v>
      </c>
    </row>
    <row r="7" spans="3:136" x14ac:dyDescent="0.25">
      <c r="C7" s="49" t="s">
        <v>421</v>
      </c>
      <c r="D7">
        <v>29</v>
      </c>
      <c r="K7" s="49" t="s">
        <v>473</v>
      </c>
      <c r="L7">
        <v>6</v>
      </c>
      <c r="O7" s="49" t="s">
        <v>523</v>
      </c>
      <c r="P7">
        <v>25</v>
      </c>
      <c r="Q7" s="49" t="s">
        <v>558</v>
      </c>
      <c r="R7">
        <v>6</v>
      </c>
      <c r="S7" s="49" t="s">
        <v>473</v>
      </c>
      <c r="T7">
        <v>6</v>
      </c>
      <c r="U7" s="49" t="s">
        <v>607</v>
      </c>
      <c r="V7">
        <v>6</v>
      </c>
      <c r="W7" s="49" t="s">
        <v>619</v>
      </c>
      <c r="X7">
        <v>18</v>
      </c>
      <c r="Y7" s="49" t="s">
        <v>619</v>
      </c>
      <c r="Z7">
        <v>48</v>
      </c>
      <c r="AA7" s="49" t="s">
        <v>558</v>
      </c>
      <c r="AB7">
        <v>6</v>
      </c>
      <c r="AE7" s="49" t="s">
        <v>64</v>
      </c>
      <c r="AF7">
        <v>40</v>
      </c>
      <c r="AG7" s="49" t="s">
        <v>685</v>
      </c>
      <c r="AH7">
        <v>5</v>
      </c>
      <c r="AI7" s="49" t="s">
        <v>690</v>
      </c>
      <c r="AJ7">
        <v>4</v>
      </c>
      <c r="AK7" s="49" t="s">
        <v>473</v>
      </c>
      <c r="AL7">
        <v>6</v>
      </c>
      <c r="AM7" s="49" t="s">
        <v>698</v>
      </c>
      <c r="AN7">
        <v>32</v>
      </c>
      <c r="AO7" s="49" t="s">
        <v>607</v>
      </c>
      <c r="AP7">
        <v>6</v>
      </c>
      <c r="AQ7" s="49" t="s">
        <v>619</v>
      </c>
      <c r="AR7">
        <v>18</v>
      </c>
      <c r="AS7" s="49" t="s">
        <v>619</v>
      </c>
      <c r="AT7">
        <v>48</v>
      </c>
      <c r="AU7" s="49" t="s">
        <v>685</v>
      </c>
      <c r="AV7">
        <v>5</v>
      </c>
      <c r="AY7" s="49" t="s">
        <v>558</v>
      </c>
      <c r="AZ7">
        <v>6</v>
      </c>
      <c r="BC7" s="49" t="s">
        <v>522</v>
      </c>
      <c r="BD7">
        <v>29</v>
      </c>
      <c r="BI7" s="49" t="s">
        <v>473</v>
      </c>
      <c r="BJ7">
        <v>6</v>
      </c>
      <c r="BK7" s="49" t="s">
        <v>755</v>
      </c>
      <c r="BL7">
        <v>44</v>
      </c>
      <c r="BM7" s="49" t="s">
        <v>619</v>
      </c>
      <c r="BN7">
        <v>18</v>
      </c>
      <c r="BO7" s="49" t="s">
        <v>619</v>
      </c>
      <c r="BP7">
        <v>48</v>
      </c>
      <c r="BU7" s="49" t="s">
        <v>685</v>
      </c>
      <c r="BV7">
        <v>5</v>
      </c>
      <c r="BW7" s="49" t="s">
        <v>793</v>
      </c>
      <c r="BX7">
        <v>13</v>
      </c>
      <c r="BY7" s="49" t="s">
        <v>558</v>
      </c>
      <c r="BZ7">
        <v>6</v>
      </c>
      <c r="CC7" s="49" t="s">
        <v>522</v>
      </c>
      <c r="CD7">
        <v>29</v>
      </c>
      <c r="CE7" s="49" t="s">
        <v>473</v>
      </c>
      <c r="CF7">
        <v>6</v>
      </c>
      <c r="CG7" s="49" t="s">
        <v>755</v>
      </c>
      <c r="CH7">
        <v>44</v>
      </c>
      <c r="CI7" s="49" t="s">
        <v>619</v>
      </c>
      <c r="CJ7">
        <v>18</v>
      </c>
      <c r="CK7" s="49" t="s">
        <v>619</v>
      </c>
      <c r="CL7">
        <v>48</v>
      </c>
      <c r="CQ7" s="49" t="s">
        <v>685</v>
      </c>
      <c r="CR7">
        <v>5</v>
      </c>
      <c r="CS7" s="49" t="s">
        <v>793</v>
      </c>
      <c r="CT7">
        <v>13</v>
      </c>
      <c r="CU7" s="49" t="s">
        <v>558</v>
      </c>
      <c r="CV7">
        <v>6</v>
      </c>
      <c r="CY7" s="49" t="s">
        <v>522</v>
      </c>
      <c r="CZ7">
        <v>29</v>
      </c>
      <c r="DE7" s="49" t="s">
        <v>473</v>
      </c>
      <c r="DF7">
        <v>6</v>
      </c>
      <c r="DG7" s="49" t="s">
        <v>755</v>
      </c>
      <c r="DH7">
        <v>44</v>
      </c>
      <c r="DI7" s="49" t="s">
        <v>619</v>
      </c>
      <c r="DJ7">
        <v>18</v>
      </c>
      <c r="DK7" s="49" t="s">
        <v>619</v>
      </c>
      <c r="DL7">
        <v>48</v>
      </c>
      <c r="DU7" s="49" t="s">
        <v>685</v>
      </c>
      <c r="DV7">
        <v>5</v>
      </c>
      <c r="DW7" s="49" t="s">
        <v>793</v>
      </c>
      <c r="DX7">
        <v>13</v>
      </c>
      <c r="DY7" s="49" t="s">
        <v>558</v>
      </c>
      <c r="DZ7">
        <v>6</v>
      </c>
      <c r="EC7" s="49" t="s">
        <v>522</v>
      </c>
      <c r="ED7">
        <v>29</v>
      </c>
    </row>
    <row r="8" spans="3:136" x14ac:dyDescent="0.25">
      <c r="C8" s="49" t="s">
        <v>422</v>
      </c>
      <c r="D8">
        <v>26</v>
      </c>
      <c r="K8" s="49" t="s">
        <v>474</v>
      </c>
      <c r="L8">
        <v>7</v>
      </c>
      <c r="O8" s="49" t="s">
        <v>524</v>
      </c>
      <c r="P8">
        <v>36</v>
      </c>
      <c r="Q8" s="49" t="s">
        <v>559</v>
      </c>
      <c r="R8">
        <v>7</v>
      </c>
      <c r="S8" s="49" t="s">
        <v>474</v>
      </c>
      <c r="T8">
        <v>7</v>
      </c>
      <c r="U8" s="49" t="s">
        <v>608</v>
      </c>
      <c r="V8">
        <v>7</v>
      </c>
      <c r="W8" s="49" t="s">
        <v>620</v>
      </c>
      <c r="X8">
        <v>19</v>
      </c>
      <c r="Y8" s="49" t="s">
        <v>620</v>
      </c>
      <c r="Z8">
        <v>49</v>
      </c>
      <c r="AA8" s="49" t="s">
        <v>559</v>
      </c>
      <c r="AB8">
        <v>7</v>
      </c>
      <c r="AE8" s="49" t="s">
        <v>523</v>
      </c>
      <c r="AF8">
        <v>25</v>
      </c>
      <c r="AG8" s="49" t="s">
        <v>686</v>
      </c>
      <c r="AH8">
        <v>6</v>
      </c>
      <c r="AK8" s="49" t="s">
        <v>474</v>
      </c>
      <c r="AL8">
        <v>7</v>
      </c>
      <c r="AM8" s="49" t="s">
        <v>699</v>
      </c>
      <c r="AN8">
        <v>33</v>
      </c>
      <c r="AO8" s="49" t="s">
        <v>608</v>
      </c>
      <c r="AP8">
        <v>7</v>
      </c>
      <c r="AQ8" s="49" t="s">
        <v>620</v>
      </c>
      <c r="AR8">
        <v>19</v>
      </c>
      <c r="AS8" s="49" t="s">
        <v>620</v>
      </c>
      <c r="AT8">
        <v>49</v>
      </c>
      <c r="AU8" s="49" t="s">
        <v>686</v>
      </c>
      <c r="AV8">
        <v>6</v>
      </c>
      <c r="AY8" s="49" t="s">
        <v>559</v>
      </c>
      <c r="AZ8">
        <v>7</v>
      </c>
      <c r="BC8" s="49" t="s">
        <v>674</v>
      </c>
      <c r="BD8">
        <v>42</v>
      </c>
      <c r="BI8" s="49" t="s">
        <v>474</v>
      </c>
      <c r="BJ8">
        <v>7</v>
      </c>
      <c r="BK8" s="49" t="s">
        <v>756</v>
      </c>
      <c r="BL8">
        <v>45</v>
      </c>
      <c r="BM8" s="49" t="s">
        <v>620</v>
      </c>
      <c r="BN8">
        <v>19</v>
      </c>
      <c r="BO8" s="49" t="s">
        <v>620</v>
      </c>
      <c r="BP8">
        <v>49</v>
      </c>
      <c r="BU8" s="49" t="s">
        <v>686</v>
      </c>
      <c r="BV8">
        <v>6</v>
      </c>
      <c r="BW8" s="49" t="s">
        <v>794</v>
      </c>
      <c r="BX8">
        <v>14</v>
      </c>
      <c r="BY8" s="49" t="s">
        <v>559</v>
      </c>
      <c r="BZ8">
        <v>7</v>
      </c>
      <c r="CC8" s="49" t="s">
        <v>674</v>
      </c>
      <c r="CD8">
        <v>42</v>
      </c>
      <c r="CE8" s="49" t="s">
        <v>474</v>
      </c>
      <c r="CF8">
        <v>7</v>
      </c>
      <c r="CG8" s="49" t="s">
        <v>756</v>
      </c>
      <c r="CH8">
        <v>45</v>
      </c>
      <c r="CI8" s="49" t="s">
        <v>620</v>
      </c>
      <c r="CJ8">
        <v>19</v>
      </c>
      <c r="CK8" s="49" t="s">
        <v>620</v>
      </c>
      <c r="CL8">
        <v>49</v>
      </c>
      <c r="CQ8" s="49" t="s">
        <v>686</v>
      </c>
      <c r="CR8">
        <v>6</v>
      </c>
      <c r="CS8" s="49" t="s">
        <v>794</v>
      </c>
      <c r="CT8">
        <v>14</v>
      </c>
      <c r="CU8" s="49" t="s">
        <v>559</v>
      </c>
      <c r="CV8">
        <v>7</v>
      </c>
      <c r="CY8" s="49" t="s">
        <v>674</v>
      </c>
      <c r="CZ8">
        <v>42</v>
      </c>
      <c r="DE8" s="49" t="s">
        <v>474</v>
      </c>
      <c r="DF8">
        <v>7</v>
      </c>
      <c r="DG8" s="49" t="s">
        <v>756</v>
      </c>
      <c r="DH8">
        <v>45</v>
      </c>
      <c r="DI8" s="49" t="s">
        <v>620</v>
      </c>
      <c r="DJ8">
        <v>19</v>
      </c>
      <c r="DK8" s="49" t="s">
        <v>620</v>
      </c>
      <c r="DL8">
        <v>49</v>
      </c>
      <c r="DU8" s="49" t="s">
        <v>686</v>
      </c>
      <c r="DV8">
        <v>6</v>
      </c>
      <c r="DW8" s="49" t="s">
        <v>794</v>
      </c>
      <c r="DX8">
        <v>14</v>
      </c>
      <c r="DY8" s="49" t="s">
        <v>559</v>
      </c>
      <c r="DZ8">
        <v>7</v>
      </c>
      <c r="EC8" s="49" t="s">
        <v>674</v>
      </c>
      <c r="ED8">
        <v>42</v>
      </c>
    </row>
    <row r="9" spans="3:136" x14ac:dyDescent="0.25">
      <c r="C9" s="49" t="s">
        <v>423</v>
      </c>
      <c r="D9">
        <v>20</v>
      </c>
      <c r="K9" s="49" t="s">
        <v>475</v>
      </c>
      <c r="L9">
        <v>8</v>
      </c>
      <c r="O9" s="49" t="s">
        <v>525</v>
      </c>
      <c r="P9">
        <v>9</v>
      </c>
      <c r="Q9" s="49" t="s">
        <v>560</v>
      </c>
      <c r="R9">
        <v>8</v>
      </c>
      <c r="S9" s="49" t="s">
        <v>475</v>
      </c>
      <c r="T9">
        <v>8</v>
      </c>
      <c r="U9" s="49" t="s">
        <v>609</v>
      </c>
      <c r="V9">
        <v>8</v>
      </c>
      <c r="W9" s="49" t="s">
        <v>621</v>
      </c>
      <c r="X9">
        <v>20</v>
      </c>
      <c r="Y9" s="49" t="s">
        <v>621</v>
      </c>
      <c r="Z9">
        <v>50</v>
      </c>
      <c r="AA9" s="49" t="s">
        <v>560</v>
      </c>
      <c r="AB9">
        <v>8</v>
      </c>
      <c r="AE9" s="49" t="s">
        <v>524</v>
      </c>
      <c r="AF9">
        <v>36</v>
      </c>
      <c r="AG9" s="49" t="s">
        <v>687</v>
      </c>
      <c r="AH9">
        <v>8</v>
      </c>
      <c r="AK9" s="49" t="s">
        <v>475</v>
      </c>
      <c r="AL9">
        <v>8</v>
      </c>
      <c r="AM9" s="49" t="s">
        <v>692</v>
      </c>
      <c r="AN9">
        <v>34</v>
      </c>
      <c r="AO9" s="49" t="s">
        <v>609</v>
      </c>
      <c r="AP9">
        <v>8</v>
      </c>
      <c r="AQ9" s="49" t="s">
        <v>621</v>
      </c>
      <c r="AR9">
        <v>20</v>
      </c>
      <c r="AS9" s="49" t="s">
        <v>621</v>
      </c>
      <c r="AT9">
        <v>50</v>
      </c>
      <c r="AU9" s="49" t="s">
        <v>687</v>
      </c>
      <c r="AV9">
        <v>8</v>
      </c>
      <c r="AY9" s="49" t="s">
        <v>560</v>
      </c>
      <c r="AZ9">
        <v>8</v>
      </c>
      <c r="BC9" s="49" t="s">
        <v>64</v>
      </c>
      <c r="BD9">
        <v>41</v>
      </c>
      <c r="BI9" s="49" t="s">
        <v>475</v>
      </c>
      <c r="BJ9">
        <v>8</v>
      </c>
      <c r="BK9" s="49" t="s">
        <v>757</v>
      </c>
      <c r="BL9">
        <v>46</v>
      </c>
      <c r="BM9" s="49" t="s">
        <v>621</v>
      </c>
      <c r="BN9">
        <v>20</v>
      </c>
      <c r="BO9" s="49" t="s">
        <v>621</v>
      </c>
      <c r="BP9">
        <v>50</v>
      </c>
      <c r="BU9" s="49" t="s">
        <v>687</v>
      </c>
      <c r="BV9">
        <v>8</v>
      </c>
      <c r="BW9" s="49" t="s">
        <v>690</v>
      </c>
      <c r="BX9">
        <v>4</v>
      </c>
      <c r="BY9" s="49" t="s">
        <v>560</v>
      </c>
      <c r="BZ9">
        <v>8</v>
      </c>
      <c r="CC9" s="49" t="s">
        <v>797</v>
      </c>
      <c r="CD9">
        <v>43</v>
      </c>
      <c r="CE9" s="49" t="s">
        <v>475</v>
      </c>
      <c r="CF9">
        <v>8</v>
      </c>
      <c r="CG9" s="49" t="s">
        <v>757</v>
      </c>
      <c r="CH9">
        <v>46</v>
      </c>
      <c r="CI9" s="49" t="s">
        <v>621</v>
      </c>
      <c r="CJ9">
        <v>20</v>
      </c>
      <c r="CK9" s="49" t="s">
        <v>621</v>
      </c>
      <c r="CL9">
        <v>50</v>
      </c>
      <c r="CQ9" s="49" t="s">
        <v>687</v>
      </c>
      <c r="CR9">
        <v>8</v>
      </c>
      <c r="CS9" s="49" t="s">
        <v>690</v>
      </c>
      <c r="CT9">
        <v>4</v>
      </c>
      <c r="CU9" s="49" t="s">
        <v>560</v>
      </c>
      <c r="CV9">
        <v>8</v>
      </c>
      <c r="CY9" s="49" t="s">
        <v>797</v>
      </c>
      <c r="CZ9">
        <v>43</v>
      </c>
      <c r="DE9" s="49" t="s">
        <v>475</v>
      </c>
      <c r="DF9">
        <v>8</v>
      </c>
      <c r="DG9" s="49" t="s">
        <v>757</v>
      </c>
      <c r="DH9">
        <v>46</v>
      </c>
      <c r="DI9" s="49" t="s">
        <v>621</v>
      </c>
      <c r="DJ9">
        <v>20</v>
      </c>
      <c r="DK9" s="49" t="s">
        <v>621</v>
      </c>
      <c r="DL9">
        <v>50</v>
      </c>
      <c r="DU9" s="49" t="s">
        <v>687</v>
      </c>
      <c r="DV9">
        <v>8</v>
      </c>
      <c r="DW9" s="49" t="s">
        <v>690</v>
      </c>
      <c r="DX9">
        <v>4</v>
      </c>
      <c r="DY9" s="49" t="s">
        <v>560</v>
      </c>
      <c r="DZ9">
        <v>8</v>
      </c>
      <c r="EC9" s="49" t="s">
        <v>797</v>
      </c>
      <c r="ED9">
        <v>43</v>
      </c>
    </row>
    <row r="10" spans="3:136" x14ac:dyDescent="0.25">
      <c r="C10" s="49" t="s">
        <v>424</v>
      </c>
      <c r="D10">
        <v>21</v>
      </c>
      <c r="K10" s="49" t="s">
        <v>476</v>
      </c>
      <c r="L10">
        <v>9</v>
      </c>
      <c r="O10" s="49" t="s">
        <v>526</v>
      </c>
      <c r="P10">
        <v>31</v>
      </c>
      <c r="Q10" s="49" t="s">
        <v>561</v>
      </c>
      <c r="R10">
        <v>9</v>
      </c>
      <c r="S10" s="49" t="s">
        <v>476</v>
      </c>
      <c r="T10">
        <v>9</v>
      </c>
      <c r="U10" s="49" t="s">
        <v>610</v>
      </c>
      <c r="V10">
        <v>9</v>
      </c>
      <c r="W10" s="49" t="s">
        <v>622</v>
      </c>
      <c r="X10">
        <v>21</v>
      </c>
      <c r="Y10" s="49" t="s">
        <v>622</v>
      </c>
      <c r="Z10">
        <v>51</v>
      </c>
      <c r="AA10" s="49" t="s">
        <v>561</v>
      </c>
      <c r="AB10">
        <v>9</v>
      </c>
      <c r="AE10" s="49" t="s">
        <v>525</v>
      </c>
      <c r="AF10">
        <v>9</v>
      </c>
      <c r="AK10" s="49" t="s">
        <v>476</v>
      </c>
      <c r="AL10">
        <v>9</v>
      </c>
      <c r="AM10" s="49" t="s">
        <v>693</v>
      </c>
      <c r="AN10">
        <v>35</v>
      </c>
      <c r="AO10" s="49" t="s">
        <v>610</v>
      </c>
      <c r="AP10">
        <v>9</v>
      </c>
      <c r="AQ10" s="49" t="s">
        <v>622</v>
      </c>
      <c r="AR10">
        <v>21</v>
      </c>
      <c r="AS10" s="49" t="s">
        <v>622</v>
      </c>
      <c r="AT10">
        <v>51</v>
      </c>
      <c r="AY10" s="49" t="s">
        <v>561</v>
      </c>
      <c r="AZ10">
        <v>9</v>
      </c>
      <c r="BC10" s="49" t="s">
        <v>523</v>
      </c>
      <c r="BD10">
        <v>25</v>
      </c>
      <c r="BI10" s="49" t="s">
        <v>476</v>
      </c>
      <c r="BJ10">
        <v>9</v>
      </c>
      <c r="BK10" s="49" t="s">
        <v>758</v>
      </c>
      <c r="BL10">
        <v>31</v>
      </c>
      <c r="BM10" s="49" t="s">
        <v>622</v>
      </c>
      <c r="BN10">
        <v>21</v>
      </c>
      <c r="BO10" s="49" t="s">
        <v>622</v>
      </c>
      <c r="BP10">
        <v>51</v>
      </c>
      <c r="BY10" s="49" t="s">
        <v>561</v>
      </c>
      <c r="BZ10">
        <v>9</v>
      </c>
      <c r="CC10" s="49" t="s">
        <v>64</v>
      </c>
      <c r="CD10">
        <v>41</v>
      </c>
      <c r="CE10" s="49" t="s">
        <v>476</v>
      </c>
      <c r="CF10">
        <v>9</v>
      </c>
      <c r="CG10" s="49" t="s">
        <v>758</v>
      </c>
      <c r="CH10">
        <v>31</v>
      </c>
      <c r="CI10" s="49" t="s">
        <v>622</v>
      </c>
      <c r="CJ10">
        <v>21</v>
      </c>
      <c r="CK10" s="49" t="s">
        <v>622</v>
      </c>
      <c r="CL10">
        <v>51</v>
      </c>
      <c r="CU10" s="49" t="s">
        <v>561</v>
      </c>
      <c r="CV10">
        <v>9</v>
      </c>
      <c r="CY10" s="49" t="s">
        <v>64</v>
      </c>
      <c r="CZ10">
        <v>41</v>
      </c>
      <c r="DE10" s="49" t="s">
        <v>476</v>
      </c>
      <c r="DF10">
        <v>9</v>
      </c>
      <c r="DG10" s="49" t="s">
        <v>758</v>
      </c>
      <c r="DH10">
        <v>31</v>
      </c>
      <c r="DI10" s="49" t="s">
        <v>622</v>
      </c>
      <c r="DJ10">
        <v>21</v>
      </c>
      <c r="DK10" s="49" t="s">
        <v>622</v>
      </c>
      <c r="DL10">
        <v>51</v>
      </c>
      <c r="DY10" s="49" t="s">
        <v>561</v>
      </c>
      <c r="DZ10">
        <v>9</v>
      </c>
      <c r="EC10" s="49" t="s">
        <v>64</v>
      </c>
      <c r="ED10">
        <v>41</v>
      </c>
    </row>
    <row r="11" spans="3:136" x14ac:dyDescent="0.25">
      <c r="C11" s="49" t="s">
        <v>425</v>
      </c>
      <c r="D11">
        <v>22</v>
      </c>
      <c r="K11" s="49" t="s">
        <v>477</v>
      </c>
      <c r="L11">
        <v>10</v>
      </c>
      <c r="O11" s="49" t="s">
        <v>527</v>
      </c>
      <c r="P11">
        <v>35</v>
      </c>
      <c r="Q11" s="49" t="s">
        <v>562</v>
      </c>
      <c r="R11">
        <v>10</v>
      </c>
      <c r="S11" s="49" t="s">
        <v>477</v>
      </c>
      <c r="T11">
        <v>10</v>
      </c>
      <c r="U11" s="49" t="s">
        <v>611</v>
      </c>
      <c r="V11">
        <v>10</v>
      </c>
      <c r="W11" s="49" t="s">
        <v>623</v>
      </c>
      <c r="X11">
        <v>22</v>
      </c>
      <c r="Y11" s="49" t="s">
        <v>623</v>
      </c>
      <c r="Z11">
        <v>52</v>
      </c>
      <c r="AA11" s="49" t="s">
        <v>562</v>
      </c>
      <c r="AB11">
        <v>10</v>
      </c>
      <c r="AE11" s="49" t="s">
        <v>526</v>
      </c>
      <c r="AF11">
        <v>31</v>
      </c>
      <c r="AK11" s="49" t="s">
        <v>477</v>
      </c>
      <c r="AL11">
        <v>10</v>
      </c>
      <c r="AM11" s="49" t="s">
        <v>694</v>
      </c>
      <c r="AN11">
        <v>36</v>
      </c>
      <c r="AO11" s="49" t="s">
        <v>611</v>
      </c>
      <c r="AP11">
        <v>10</v>
      </c>
      <c r="AQ11" s="49" t="s">
        <v>623</v>
      </c>
      <c r="AR11">
        <v>22</v>
      </c>
      <c r="AS11" s="49" t="s">
        <v>623</v>
      </c>
      <c r="AT11">
        <v>52</v>
      </c>
      <c r="AY11" s="49" t="s">
        <v>562</v>
      </c>
      <c r="AZ11">
        <v>10</v>
      </c>
      <c r="BC11" s="49" t="s">
        <v>542</v>
      </c>
      <c r="BD11">
        <v>1</v>
      </c>
      <c r="BI11" s="49" t="s">
        <v>477</v>
      </c>
      <c r="BJ11">
        <v>10</v>
      </c>
      <c r="BK11" s="49" t="s">
        <v>759</v>
      </c>
      <c r="BL11">
        <v>32</v>
      </c>
      <c r="BM11" s="49" t="s">
        <v>623</v>
      </c>
      <c r="BN11">
        <v>22</v>
      </c>
      <c r="BO11" s="49" t="s">
        <v>623</v>
      </c>
      <c r="BP11">
        <v>52</v>
      </c>
      <c r="BY11" s="49" t="s">
        <v>562</v>
      </c>
      <c r="BZ11">
        <v>10</v>
      </c>
      <c r="CC11" s="49" t="s">
        <v>523</v>
      </c>
      <c r="CD11">
        <v>25</v>
      </c>
      <c r="CE11" s="49" t="s">
        <v>477</v>
      </c>
      <c r="CF11">
        <v>10</v>
      </c>
      <c r="CG11" s="49" t="s">
        <v>759</v>
      </c>
      <c r="CH11">
        <v>32</v>
      </c>
      <c r="CI11" s="49" t="s">
        <v>623</v>
      </c>
      <c r="CJ11">
        <v>22</v>
      </c>
      <c r="CK11" s="49" t="s">
        <v>623</v>
      </c>
      <c r="CL11">
        <v>52</v>
      </c>
      <c r="CU11" s="49" t="s">
        <v>562</v>
      </c>
      <c r="CV11">
        <v>10</v>
      </c>
      <c r="CY11" s="49" t="s">
        <v>523</v>
      </c>
      <c r="CZ11">
        <v>25</v>
      </c>
      <c r="DE11" s="49" t="s">
        <v>477</v>
      </c>
      <c r="DF11">
        <v>10</v>
      </c>
      <c r="DG11" s="49" t="s">
        <v>759</v>
      </c>
      <c r="DH11">
        <v>32</v>
      </c>
      <c r="DI11" s="49" t="s">
        <v>623</v>
      </c>
      <c r="DJ11">
        <v>22</v>
      </c>
      <c r="DK11" s="49" t="s">
        <v>623</v>
      </c>
      <c r="DL11">
        <v>52</v>
      </c>
      <c r="DY11" s="49" t="s">
        <v>562</v>
      </c>
      <c r="DZ11">
        <v>10</v>
      </c>
      <c r="EC11" s="49" t="s">
        <v>523</v>
      </c>
      <c r="ED11">
        <v>25</v>
      </c>
    </row>
    <row r="12" spans="3:136" x14ac:dyDescent="0.25">
      <c r="C12" s="49" t="s">
        <v>426</v>
      </c>
      <c r="D12">
        <v>23</v>
      </c>
      <c r="K12" s="49" t="s">
        <v>478</v>
      </c>
      <c r="L12">
        <v>11</v>
      </c>
      <c r="O12" s="49" t="s">
        <v>528</v>
      </c>
      <c r="P12">
        <v>24</v>
      </c>
      <c r="Q12" s="49" t="s">
        <v>563</v>
      </c>
      <c r="R12">
        <v>11</v>
      </c>
      <c r="S12" s="49" t="s">
        <v>478</v>
      </c>
      <c r="T12">
        <v>11</v>
      </c>
      <c r="U12" s="49" t="s">
        <v>612</v>
      </c>
      <c r="V12">
        <v>11</v>
      </c>
      <c r="W12" s="49" t="s">
        <v>624</v>
      </c>
      <c r="X12">
        <v>23</v>
      </c>
      <c r="Y12" s="49" t="s">
        <v>624</v>
      </c>
      <c r="Z12">
        <v>53</v>
      </c>
      <c r="AA12" s="49" t="s">
        <v>563</v>
      </c>
      <c r="AB12">
        <v>11</v>
      </c>
      <c r="AE12" s="49" t="s">
        <v>527</v>
      </c>
      <c r="AF12">
        <v>35</v>
      </c>
      <c r="AK12" s="49" t="s">
        <v>478</v>
      </c>
      <c r="AL12">
        <v>11</v>
      </c>
      <c r="AM12" s="49" t="s">
        <v>700</v>
      </c>
      <c r="AN12">
        <v>37</v>
      </c>
      <c r="AO12" s="49" t="s">
        <v>612</v>
      </c>
      <c r="AP12">
        <v>11</v>
      </c>
      <c r="AQ12" s="49" t="s">
        <v>624</v>
      </c>
      <c r="AR12">
        <v>23</v>
      </c>
      <c r="AS12" s="49" t="s">
        <v>624</v>
      </c>
      <c r="AT12">
        <v>53</v>
      </c>
      <c r="AY12" s="49" t="s">
        <v>563</v>
      </c>
      <c r="AZ12">
        <v>11</v>
      </c>
      <c r="BC12" s="49" t="s">
        <v>524</v>
      </c>
      <c r="BD12">
        <v>36</v>
      </c>
      <c r="BI12" s="49" t="s">
        <v>478</v>
      </c>
      <c r="BJ12">
        <v>11</v>
      </c>
      <c r="BK12" s="49" t="s">
        <v>760</v>
      </c>
      <c r="BL12">
        <v>33</v>
      </c>
      <c r="BM12" s="49" t="s">
        <v>624</v>
      </c>
      <c r="BN12">
        <v>23</v>
      </c>
      <c r="BO12" s="49" t="s">
        <v>624</v>
      </c>
      <c r="BP12">
        <v>53</v>
      </c>
      <c r="BY12" s="49" t="s">
        <v>563</v>
      </c>
      <c r="BZ12">
        <v>11</v>
      </c>
      <c r="CC12" s="49" t="s">
        <v>524</v>
      </c>
      <c r="CD12">
        <v>36</v>
      </c>
      <c r="CE12" s="49" t="s">
        <v>478</v>
      </c>
      <c r="CF12">
        <v>11</v>
      </c>
      <c r="CG12" s="49" t="s">
        <v>760</v>
      </c>
      <c r="CH12">
        <v>33</v>
      </c>
      <c r="CI12" s="49" t="s">
        <v>624</v>
      </c>
      <c r="CJ12">
        <v>23</v>
      </c>
      <c r="CK12" s="49" t="s">
        <v>624</v>
      </c>
      <c r="CL12">
        <v>53</v>
      </c>
      <c r="CU12" s="49" t="s">
        <v>563</v>
      </c>
      <c r="CV12">
        <v>11</v>
      </c>
      <c r="CY12" s="49" t="s">
        <v>524</v>
      </c>
      <c r="CZ12">
        <v>36</v>
      </c>
      <c r="DE12" s="49" t="s">
        <v>478</v>
      </c>
      <c r="DF12">
        <v>11</v>
      </c>
      <c r="DG12" s="49" t="s">
        <v>760</v>
      </c>
      <c r="DH12">
        <v>33</v>
      </c>
      <c r="DI12" s="49" t="s">
        <v>624</v>
      </c>
      <c r="DJ12">
        <v>23</v>
      </c>
      <c r="DK12" s="49" t="s">
        <v>624</v>
      </c>
      <c r="DL12">
        <v>53</v>
      </c>
      <c r="DY12" s="49" t="s">
        <v>563</v>
      </c>
      <c r="DZ12">
        <v>11</v>
      </c>
      <c r="EC12" s="49" t="s">
        <v>524</v>
      </c>
      <c r="ED12">
        <v>36</v>
      </c>
    </row>
    <row r="13" spans="3:136" x14ac:dyDescent="0.25">
      <c r="C13" s="49" t="s">
        <v>427</v>
      </c>
      <c r="D13">
        <v>27</v>
      </c>
      <c r="K13" s="49" t="s">
        <v>479</v>
      </c>
      <c r="L13">
        <v>12</v>
      </c>
      <c r="O13" s="49" t="s">
        <v>529</v>
      </c>
      <c r="P13">
        <v>23</v>
      </c>
      <c r="Q13" s="49" t="s">
        <v>564</v>
      </c>
      <c r="R13">
        <v>12</v>
      </c>
      <c r="S13" s="49" t="s">
        <v>479</v>
      </c>
      <c r="T13">
        <v>12</v>
      </c>
      <c r="U13" s="49" t="s">
        <v>613</v>
      </c>
      <c r="V13">
        <v>12</v>
      </c>
      <c r="W13" s="49" t="s">
        <v>625</v>
      </c>
      <c r="X13">
        <v>24</v>
      </c>
      <c r="Y13" s="49" t="s">
        <v>625</v>
      </c>
      <c r="Z13">
        <v>54</v>
      </c>
      <c r="AA13" s="49" t="s">
        <v>564</v>
      </c>
      <c r="AB13">
        <v>12</v>
      </c>
      <c r="AE13" s="49" t="s">
        <v>528</v>
      </c>
      <c r="AF13">
        <v>24</v>
      </c>
      <c r="AK13" s="49" t="s">
        <v>479</v>
      </c>
      <c r="AL13">
        <v>12</v>
      </c>
      <c r="AM13" s="49" t="s">
        <v>419</v>
      </c>
      <c r="AN13">
        <v>24</v>
      </c>
      <c r="AO13" s="49" t="s">
        <v>613</v>
      </c>
      <c r="AP13">
        <v>12</v>
      </c>
      <c r="AQ13" s="49" t="s">
        <v>625</v>
      </c>
      <c r="AR13">
        <v>24</v>
      </c>
      <c r="AS13" s="49" t="s">
        <v>625</v>
      </c>
      <c r="AT13">
        <v>54</v>
      </c>
      <c r="AY13" s="49" t="s">
        <v>564</v>
      </c>
      <c r="AZ13">
        <v>12</v>
      </c>
      <c r="BC13" s="49" t="s">
        <v>525</v>
      </c>
      <c r="BD13">
        <v>9</v>
      </c>
      <c r="BI13" s="49" t="s">
        <v>479</v>
      </c>
      <c r="BJ13">
        <v>12</v>
      </c>
      <c r="BK13" s="49" t="s">
        <v>761</v>
      </c>
      <c r="BL13">
        <v>34</v>
      </c>
      <c r="BM13" s="49" t="s">
        <v>625</v>
      </c>
      <c r="BN13">
        <v>24</v>
      </c>
      <c r="BO13" s="49" t="s">
        <v>625</v>
      </c>
      <c r="BP13">
        <v>54</v>
      </c>
      <c r="BY13" s="49" t="s">
        <v>564</v>
      </c>
      <c r="BZ13">
        <v>12</v>
      </c>
      <c r="CC13" s="49" t="s">
        <v>525</v>
      </c>
      <c r="CD13">
        <v>9</v>
      </c>
      <c r="CE13" s="49" t="s">
        <v>479</v>
      </c>
      <c r="CF13">
        <v>12</v>
      </c>
      <c r="CG13" s="49" t="s">
        <v>761</v>
      </c>
      <c r="CH13">
        <v>34</v>
      </c>
      <c r="CI13" s="49" t="s">
        <v>625</v>
      </c>
      <c r="CJ13">
        <v>24</v>
      </c>
      <c r="CK13" s="49" t="s">
        <v>625</v>
      </c>
      <c r="CL13">
        <v>54</v>
      </c>
      <c r="CU13" s="49" t="s">
        <v>564</v>
      </c>
      <c r="CV13">
        <v>12</v>
      </c>
      <c r="CY13" s="49" t="s">
        <v>525</v>
      </c>
      <c r="CZ13">
        <v>9</v>
      </c>
      <c r="DE13" s="49" t="s">
        <v>479</v>
      </c>
      <c r="DF13">
        <v>12</v>
      </c>
      <c r="DG13" s="49" t="s">
        <v>761</v>
      </c>
      <c r="DH13">
        <v>34</v>
      </c>
      <c r="DI13" s="49" t="s">
        <v>625</v>
      </c>
      <c r="DJ13">
        <v>24</v>
      </c>
      <c r="DK13" s="49" t="s">
        <v>625</v>
      </c>
      <c r="DL13">
        <v>54</v>
      </c>
      <c r="DY13" s="49" t="s">
        <v>564</v>
      </c>
      <c r="DZ13">
        <v>12</v>
      </c>
      <c r="EC13" s="49" t="s">
        <v>525</v>
      </c>
      <c r="ED13">
        <v>9</v>
      </c>
    </row>
    <row r="14" spans="3:136" x14ac:dyDescent="0.25">
      <c r="C14" s="49" t="s">
        <v>428</v>
      </c>
      <c r="D14">
        <v>17</v>
      </c>
      <c r="K14" s="49" t="s">
        <v>480</v>
      </c>
      <c r="L14">
        <v>13</v>
      </c>
      <c r="O14" s="49" t="s">
        <v>530</v>
      </c>
      <c r="P14">
        <v>11</v>
      </c>
      <c r="Q14" s="49" t="s">
        <v>565</v>
      </c>
      <c r="R14">
        <v>13</v>
      </c>
      <c r="S14" s="49" t="s">
        <v>480</v>
      </c>
      <c r="T14">
        <v>13</v>
      </c>
      <c r="W14" s="49" t="s">
        <v>626</v>
      </c>
      <c r="X14">
        <v>25</v>
      </c>
      <c r="Y14" s="49" t="s">
        <v>626</v>
      </c>
      <c r="Z14">
        <v>55</v>
      </c>
      <c r="AA14" s="49" t="s">
        <v>565</v>
      </c>
      <c r="AB14">
        <v>13</v>
      </c>
      <c r="AE14" s="49" t="s">
        <v>529</v>
      </c>
      <c r="AF14">
        <v>23</v>
      </c>
      <c r="AK14" s="49" t="s">
        <v>480</v>
      </c>
      <c r="AL14">
        <v>13</v>
      </c>
      <c r="AM14" s="49" t="s">
        <v>420</v>
      </c>
      <c r="AN14">
        <v>25</v>
      </c>
      <c r="AQ14" s="49" t="s">
        <v>626</v>
      </c>
      <c r="AR14">
        <v>25</v>
      </c>
      <c r="AS14" s="49" t="s">
        <v>626</v>
      </c>
      <c r="AT14">
        <v>55</v>
      </c>
      <c r="AY14" s="49" t="s">
        <v>565</v>
      </c>
      <c r="AZ14">
        <v>13</v>
      </c>
      <c r="BC14" s="49" t="s">
        <v>526</v>
      </c>
      <c r="BD14">
        <v>31</v>
      </c>
      <c r="BI14" s="49" t="s">
        <v>480</v>
      </c>
      <c r="BJ14">
        <v>13</v>
      </c>
      <c r="BK14" s="49" t="s">
        <v>762</v>
      </c>
      <c r="BL14">
        <v>35</v>
      </c>
      <c r="BM14" s="49" t="s">
        <v>626</v>
      </c>
      <c r="BN14">
        <v>25</v>
      </c>
      <c r="BO14" s="49" t="s">
        <v>626</v>
      </c>
      <c r="BP14">
        <v>55</v>
      </c>
      <c r="BY14" s="49" t="s">
        <v>565</v>
      </c>
      <c r="BZ14">
        <v>13</v>
      </c>
      <c r="CC14" s="49" t="s">
        <v>526</v>
      </c>
      <c r="CD14">
        <v>31</v>
      </c>
      <c r="CE14" s="49" t="s">
        <v>480</v>
      </c>
      <c r="CF14">
        <v>13</v>
      </c>
      <c r="CG14" s="49" t="s">
        <v>762</v>
      </c>
      <c r="CH14">
        <v>35</v>
      </c>
      <c r="CI14" s="49" t="s">
        <v>626</v>
      </c>
      <c r="CJ14">
        <v>25</v>
      </c>
      <c r="CK14" s="49" t="s">
        <v>626</v>
      </c>
      <c r="CL14">
        <v>55</v>
      </c>
      <c r="CU14" s="49" t="s">
        <v>565</v>
      </c>
      <c r="CV14">
        <v>13</v>
      </c>
      <c r="CY14" s="49" t="s">
        <v>526</v>
      </c>
      <c r="CZ14">
        <v>31</v>
      </c>
      <c r="DE14" s="49" t="s">
        <v>480</v>
      </c>
      <c r="DF14">
        <v>13</v>
      </c>
      <c r="DG14" s="49" t="s">
        <v>762</v>
      </c>
      <c r="DH14">
        <v>35</v>
      </c>
      <c r="DI14" s="49" t="s">
        <v>626</v>
      </c>
      <c r="DJ14">
        <v>25</v>
      </c>
      <c r="DK14" s="49" t="s">
        <v>626</v>
      </c>
      <c r="DL14">
        <v>55</v>
      </c>
      <c r="DY14" s="49" t="s">
        <v>565</v>
      </c>
      <c r="DZ14">
        <v>13</v>
      </c>
      <c r="EC14" s="49" t="s">
        <v>526</v>
      </c>
      <c r="ED14">
        <v>31</v>
      </c>
    </row>
    <row r="15" spans="3:136" x14ac:dyDescent="0.25">
      <c r="C15" s="49" t="s">
        <v>429</v>
      </c>
      <c r="D15">
        <v>18</v>
      </c>
      <c r="K15" s="49" t="s">
        <v>263</v>
      </c>
      <c r="L15">
        <v>14</v>
      </c>
      <c r="O15" s="49" t="s">
        <v>531</v>
      </c>
      <c r="P15">
        <v>32</v>
      </c>
      <c r="Q15" s="49" t="s">
        <v>566</v>
      </c>
      <c r="R15">
        <v>14</v>
      </c>
      <c r="S15" s="49" t="s">
        <v>263</v>
      </c>
      <c r="T15">
        <v>14</v>
      </c>
      <c r="W15" s="49" t="s">
        <v>627</v>
      </c>
      <c r="X15">
        <v>26</v>
      </c>
      <c r="Y15" s="49" t="s">
        <v>627</v>
      </c>
      <c r="Z15">
        <v>56</v>
      </c>
      <c r="AA15" s="49" t="s">
        <v>566</v>
      </c>
      <c r="AB15">
        <v>14</v>
      </c>
      <c r="AE15" s="49" t="s">
        <v>530</v>
      </c>
      <c r="AF15">
        <v>11</v>
      </c>
      <c r="AK15" s="49" t="s">
        <v>263</v>
      </c>
      <c r="AL15">
        <v>14</v>
      </c>
      <c r="AM15" s="49" t="s">
        <v>421</v>
      </c>
      <c r="AN15">
        <v>29</v>
      </c>
      <c r="AQ15" s="49" t="s">
        <v>627</v>
      </c>
      <c r="AR15">
        <v>26</v>
      </c>
      <c r="AS15" s="49" t="s">
        <v>627</v>
      </c>
      <c r="AT15">
        <v>56</v>
      </c>
      <c r="AY15" s="49" t="s">
        <v>566</v>
      </c>
      <c r="AZ15">
        <v>14</v>
      </c>
      <c r="BC15" s="49" t="s">
        <v>527</v>
      </c>
      <c r="BD15">
        <v>35</v>
      </c>
      <c r="BI15" s="49" t="s">
        <v>263</v>
      </c>
      <c r="BJ15">
        <v>14</v>
      </c>
      <c r="BK15" s="49" t="s">
        <v>763</v>
      </c>
      <c r="BL15">
        <v>36</v>
      </c>
      <c r="BM15" s="49" t="s">
        <v>627</v>
      </c>
      <c r="BN15">
        <v>26</v>
      </c>
      <c r="BO15" s="49" t="s">
        <v>627</v>
      </c>
      <c r="BP15">
        <v>56</v>
      </c>
      <c r="BY15" s="49" t="s">
        <v>566</v>
      </c>
      <c r="BZ15">
        <v>14</v>
      </c>
      <c r="CC15" s="49" t="s">
        <v>527</v>
      </c>
      <c r="CD15">
        <v>35</v>
      </c>
      <c r="CE15" s="49" t="s">
        <v>263</v>
      </c>
      <c r="CF15">
        <v>14</v>
      </c>
      <c r="CG15" s="49" t="s">
        <v>763</v>
      </c>
      <c r="CH15">
        <v>36</v>
      </c>
      <c r="CI15" s="49" t="s">
        <v>627</v>
      </c>
      <c r="CJ15">
        <v>26</v>
      </c>
      <c r="CK15" s="49" t="s">
        <v>627</v>
      </c>
      <c r="CL15">
        <v>56</v>
      </c>
      <c r="CU15" s="49" t="s">
        <v>566</v>
      </c>
      <c r="CV15">
        <v>14</v>
      </c>
      <c r="CY15" s="49" t="s">
        <v>527</v>
      </c>
      <c r="CZ15">
        <v>35</v>
      </c>
      <c r="DE15" s="49" t="s">
        <v>263</v>
      </c>
      <c r="DF15">
        <v>14</v>
      </c>
      <c r="DG15" s="49" t="s">
        <v>763</v>
      </c>
      <c r="DH15">
        <v>36</v>
      </c>
      <c r="DI15" s="49" t="s">
        <v>627</v>
      </c>
      <c r="DJ15">
        <v>26</v>
      </c>
      <c r="DK15" s="49" t="s">
        <v>627</v>
      </c>
      <c r="DL15">
        <v>56</v>
      </c>
      <c r="DY15" s="49" t="s">
        <v>566</v>
      </c>
      <c r="DZ15">
        <v>14</v>
      </c>
      <c r="EC15" s="49" t="s">
        <v>527</v>
      </c>
      <c r="ED15">
        <v>35</v>
      </c>
    </row>
    <row r="16" spans="3:136" x14ac:dyDescent="0.25">
      <c r="C16" s="49" t="s">
        <v>430</v>
      </c>
      <c r="D16">
        <v>19</v>
      </c>
      <c r="K16" s="49" t="s">
        <v>481</v>
      </c>
      <c r="L16">
        <v>15</v>
      </c>
      <c r="O16" s="49" t="s">
        <v>532</v>
      </c>
      <c r="P16">
        <v>28</v>
      </c>
      <c r="Q16" s="49" t="s">
        <v>567</v>
      </c>
      <c r="R16">
        <v>15</v>
      </c>
      <c r="S16" s="49" t="s">
        <v>481</v>
      </c>
      <c r="T16">
        <v>15</v>
      </c>
      <c r="W16" s="49" t="s">
        <v>628</v>
      </c>
      <c r="X16">
        <v>27</v>
      </c>
      <c r="Y16" s="49" t="s">
        <v>628</v>
      </c>
      <c r="Z16">
        <v>57</v>
      </c>
      <c r="AA16" s="49" t="s">
        <v>567</v>
      </c>
      <c r="AB16">
        <v>15</v>
      </c>
      <c r="AE16" s="49" t="s">
        <v>531</v>
      </c>
      <c r="AF16">
        <v>32</v>
      </c>
      <c r="AK16" s="49" t="s">
        <v>481</v>
      </c>
      <c r="AL16">
        <v>15</v>
      </c>
      <c r="AM16" s="49" t="s">
        <v>422</v>
      </c>
      <c r="AN16">
        <v>26</v>
      </c>
      <c r="AQ16" s="49" t="s">
        <v>628</v>
      </c>
      <c r="AR16">
        <v>27</v>
      </c>
      <c r="AS16" s="49" t="s">
        <v>628</v>
      </c>
      <c r="AT16">
        <v>57</v>
      </c>
      <c r="AY16" s="49" t="s">
        <v>567</v>
      </c>
      <c r="AZ16">
        <v>15</v>
      </c>
      <c r="BC16" s="49" t="s">
        <v>528</v>
      </c>
      <c r="BD16">
        <v>24</v>
      </c>
      <c r="BI16" s="49" t="s">
        <v>481</v>
      </c>
      <c r="BJ16">
        <v>15</v>
      </c>
      <c r="BK16" s="49" t="s">
        <v>764</v>
      </c>
      <c r="BL16">
        <v>37</v>
      </c>
      <c r="BM16" s="49" t="s">
        <v>628</v>
      </c>
      <c r="BN16">
        <v>27</v>
      </c>
      <c r="BO16" s="49" t="s">
        <v>628</v>
      </c>
      <c r="BP16">
        <v>57</v>
      </c>
      <c r="BY16" s="49" t="s">
        <v>567</v>
      </c>
      <c r="BZ16">
        <v>15</v>
      </c>
      <c r="CC16" s="49" t="s">
        <v>528</v>
      </c>
      <c r="CD16">
        <v>24</v>
      </c>
      <c r="CE16" s="49" t="s">
        <v>481</v>
      </c>
      <c r="CF16">
        <v>15</v>
      </c>
      <c r="CG16" s="49" t="s">
        <v>764</v>
      </c>
      <c r="CH16">
        <v>37</v>
      </c>
      <c r="CI16" s="49" t="s">
        <v>628</v>
      </c>
      <c r="CJ16">
        <v>27</v>
      </c>
      <c r="CK16" s="49" t="s">
        <v>628</v>
      </c>
      <c r="CL16">
        <v>57</v>
      </c>
      <c r="CU16" s="49" t="s">
        <v>567</v>
      </c>
      <c r="CV16">
        <v>15</v>
      </c>
      <c r="CY16" s="49" t="s">
        <v>528</v>
      </c>
      <c r="CZ16">
        <v>24</v>
      </c>
      <c r="DE16" s="49" t="s">
        <v>481</v>
      </c>
      <c r="DF16">
        <v>15</v>
      </c>
      <c r="DG16" s="49" t="s">
        <v>764</v>
      </c>
      <c r="DH16">
        <v>37</v>
      </c>
      <c r="DI16" s="49" t="s">
        <v>628</v>
      </c>
      <c r="DJ16">
        <v>27</v>
      </c>
      <c r="DK16" s="49" t="s">
        <v>628</v>
      </c>
      <c r="DL16">
        <v>57</v>
      </c>
      <c r="DY16" s="49" t="s">
        <v>567</v>
      </c>
      <c r="DZ16">
        <v>15</v>
      </c>
      <c r="EC16" s="49" t="s">
        <v>528</v>
      </c>
      <c r="ED16">
        <v>24</v>
      </c>
    </row>
    <row r="17" spans="3:134" x14ac:dyDescent="0.25">
      <c r="C17" s="49" t="s">
        <v>431</v>
      </c>
      <c r="D17">
        <v>10</v>
      </c>
      <c r="K17" s="49" t="s">
        <v>273</v>
      </c>
      <c r="L17">
        <v>16</v>
      </c>
      <c r="O17" s="49" t="s">
        <v>533</v>
      </c>
      <c r="P17">
        <v>34</v>
      </c>
      <c r="Q17" s="49" t="s">
        <v>568</v>
      </c>
      <c r="R17">
        <v>16</v>
      </c>
      <c r="S17" s="49" t="s">
        <v>273</v>
      </c>
      <c r="T17">
        <v>16</v>
      </c>
      <c r="W17" s="49" t="s">
        <v>629</v>
      </c>
      <c r="X17">
        <v>28</v>
      </c>
      <c r="Y17" s="49" t="s">
        <v>629</v>
      </c>
      <c r="Z17">
        <v>58</v>
      </c>
      <c r="AA17" s="49" t="s">
        <v>568</v>
      </c>
      <c r="AB17">
        <v>16</v>
      </c>
      <c r="AE17" s="49" t="s">
        <v>532</v>
      </c>
      <c r="AF17">
        <v>28</v>
      </c>
      <c r="AK17" s="49" t="s">
        <v>273</v>
      </c>
      <c r="AL17">
        <v>16</v>
      </c>
      <c r="AM17" s="49" t="s">
        <v>423</v>
      </c>
      <c r="AN17">
        <v>20</v>
      </c>
      <c r="AQ17" s="49" t="s">
        <v>629</v>
      </c>
      <c r="AR17">
        <v>28</v>
      </c>
      <c r="AS17" s="49" t="s">
        <v>629</v>
      </c>
      <c r="AT17">
        <v>58</v>
      </c>
      <c r="AY17" s="49" t="s">
        <v>568</v>
      </c>
      <c r="AZ17">
        <v>16</v>
      </c>
      <c r="BC17" s="49" t="s">
        <v>529</v>
      </c>
      <c r="BD17">
        <v>23</v>
      </c>
      <c r="BI17" s="49" t="s">
        <v>273</v>
      </c>
      <c r="BJ17">
        <v>16</v>
      </c>
      <c r="BK17" s="49" t="s">
        <v>765</v>
      </c>
      <c r="BL17">
        <v>38</v>
      </c>
      <c r="BM17" s="49" t="s">
        <v>629</v>
      </c>
      <c r="BN17">
        <v>28</v>
      </c>
      <c r="BO17" s="49" t="s">
        <v>629</v>
      </c>
      <c r="BP17">
        <v>58</v>
      </c>
      <c r="BY17" s="49" t="s">
        <v>568</v>
      </c>
      <c r="BZ17">
        <v>16</v>
      </c>
      <c r="CC17" s="49" t="s">
        <v>529</v>
      </c>
      <c r="CD17">
        <v>23</v>
      </c>
      <c r="CE17" s="49" t="s">
        <v>273</v>
      </c>
      <c r="CF17">
        <v>16</v>
      </c>
      <c r="CG17" s="49" t="s">
        <v>765</v>
      </c>
      <c r="CH17">
        <v>38</v>
      </c>
      <c r="CI17" s="49" t="s">
        <v>629</v>
      </c>
      <c r="CJ17">
        <v>28</v>
      </c>
      <c r="CK17" s="49" t="s">
        <v>629</v>
      </c>
      <c r="CL17">
        <v>58</v>
      </c>
      <c r="CU17" s="49" t="s">
        <v>568</v>
      </c>
      <c r="CV17">
        <v>16</v>
      </c>
      <c r="CY17" s="49" t="s">
        <v>529</v>
      </c>
      <c r="CZ17">
        <v>23</v>
      </c>
      <c r="DE17" s="49" t="s">
        <v>273</v>
      </c>
      <c r="DF17">
        <v>16</v>
      </c>
      <c r="DG17" s="49" t="s">
        <v>765</v>
      </c>
      <c r="DH17">
        <v>38</v>
      </c>
      <c r="DI17" s="49" t="s">
        <v>629</v>
      </c>
      <c r="DJ17">
        <v>28</v>
      </c>
      <c r="DK17" s="49" t="s">
        <v>629</v>
      </c>
      <c r="DL17">
        <v>58</v>
      </c>
      <c r="DY17" s="49" t="s">
        <v>568</v>
      </c>
      <c r="DZ17">
        <v>16</v>
      </c>
      <c r="EC17" s="49" t="s">
        <v>529</v>
      </c>
      <c r="ED17">
        <v>23</v>
      </c>
    </row>
    <row r="18" spans="3:134" x14ac:dyDescent="0.25">
      <c r="C18" s="49" t="s">
        <v>432</v>
      </c>
      <c r="D18">
        <v>11</v>
      </c>
      <c r="K18" s="49" t="s">
        <v>482</v>
      </c>
      <c r="L18">
        <v>17</v>
      </c>
      <c r="O18" s="49" t="s">
        <v>534</v>
      </c>
      <c r="P18">
        <v>33</v>
      </c>
      <c r="Q18" s="49" t="s">
        <v>569</v>
      </c>
      <c r="R18">
        <v>17</v>
      </c>
      <c r="S18" s="49" t="s">
        <v>482</v>
      </c>
      <c r="T18">
        <v>17</v>
      </c>
      <c r="W18" s="49" t="s">
        <v>630</v>
      </c>
      <c r="X18">
        <v>29</v>
      </c>
      <c r="Y18" s="49" t="s">
        <v>630</v>
      </c>
      <c r="Z18">
        <v>59</v>
      </c>
      <c r="AA18" s="49" t="s">
        <v>569</v>
      </c>
      <c r="AB18">
        <v>17</v>
      </c>
      <c r="AE18" s="49" t="s">
        <v>533</v>
      </c>
      <c r="AF18">
        <v>34</v>
      </c>
      <c r="AK18" s="49" t="s">
        <v>482</v>
      </c>
      <c r="AL18">
        <v>17</v>
      </c>
      <c r="AM18" s="49" t="s">
        <v>424</v>
      </c>
      <c r="AN18">
        <v>21</v>
      </c>
      <c r="AQ18" s="49" t="s">
        <v>630</v>
      </c>
      <c r="AR18">
        <v>29</v>
      </c>
      <c r="AS18" s="49" t="s">
        <v>630</v>
      </c>
      <c r="AT18">
        <v>59</v>
      </c>
      <c r="AY18" s="49" t="s">
        <v>569</v>
      </c>
      <c r="AZ18">
        <v>17</v>
      </c>
      <c r="BC18" s="49" t="s">
        <v>530</v>
      </c>
      <c r="BD18">
        <v>11</v>
      </c>
      <c r="BI18" s="49" t="s">
        <v>482</v>
      </c>
      <c r="BJ18">
        <v>17</v>
      </c>
      <c r="BK18" s="49" t="s">
        <v>766</v>
      </c>
      <c r="BL18">
        <v>40</v>
      </c>
      <c r="BM18" s="49" t="s">
        <v>630</v>
      </c>
      <c r="BN18">
        <v>29</v>
      </c>
      <c r="BO18" s="49" t="s">
        <v>630</v>
      </c>
      <c r="BP18">
        <v>59</v>
      </c>
      <c r="BY18" s="49" t="s">
        <v>569</v>
      </c>
      <c r="BZ18">
        <v>17</v>
      </c>
      <c r="CC18" s="49" t="s">
        <v>542</v>
      </c>
      <c r="CD18">
        <v>1</v>
      </c>
      <c r="CE18" s="49" t="s">
        <v>482</v>
      </c>
      <c r="CF18">
        <v>17</v>
      </c>
      <c r="CG18" s="49" t="s">
        <v>766</v>
      </c>
      <c r="CH18">
        <v>40</v>
      </c>
      <c r="CI18" s="49" t="s">
        <v>630</v>
      </c>
      <c r="CJ18">
        <v>29</v>
      </c>
      <c r="CK18" s="49" t="s">
        <v>630</v>
      </c>
      <c r="CL18">
        <v>59</v>
      </c>
      <c r="CU18" s="49" t="s">
        <v>569</v>
      </c>
      <c r="CV18">
        <v>17</v>
      </c>
      <c r="CY18" s="49" t="s">
        <v>542</v>
      </c>
      <c r="CZ18">
        <v>1</v>
      </c>
      <c r="DE18" s="49" t="s">
        <v>482</v>
      </c>
      <c r="DF18">
        <v>17</v>
      </c>
      <c r="DG18" s="49" t="s">
        <v>766</v>
      </c>
      <c r="DH18">
        <v>40</v>
      </c>
      <c r="DI18" s="49" t="s">
        <v>630</v>
      </c>
      <c r="DJ18">
        <v>29</v>
      </c>
      <c r="DK18" s="49" t="s">
        <v>630</v>
      </c>
      <c r="DL18">
        <v>59</v>
      </c>
      <c r="DY18" s="49" t="s">
        <v>569</v>
      </c>
      <c r="DZ18">
        <v>17</v>
      </c>
      <c r="EC18" s="49" t="s">
        <v>542</v>
      </c>
      <c r="ED18">
        <v>1</v>
      </c>
    </row>
    <row r="19" spans="3:134" x14ac:dyDescent="0.25">
      <c r="C19" s="49" t="s">
        <v>433</v>
      </c>
      <c r="D19">
        <v>12</v>
      </c>
      <c r="K19" s="49" t="s">
        <v>483</v>
      </c>
      <c r="L19">
        <v>18</v>
      </c>
      <c r="O19" s="49" t="s">
        <v>535</v>
      </c>
      <c r="P19">
        <v>39</v>
      </c>
      <c r="Q19" s="49" t="s">
        <v>570</v>
      </c>
      <c r="R19">
        <v>18</v>
      </c>
      <c r="S19" s="49" t="s">
        <v>483</v>
      </c>
      <c r="T19">
        <v>18</v>
      </c>
      <c r="W19" s="49" t="s">
        <v>631</v>
      </c>
      <c r="X19">
        <v>30</v>
      </c>
      <c r="Y19" s="49" t="s">
        <v>631</v>
      </c>
      <c r="Z19">
        <v>60</v>
      </c>
      <c r="AA19" s="49" t="s">
        <v>570</v>
      </c>
      <c r="AB19">
        <v>18</v>
      </c>
      <c r="AE19" s="49" t="s">
        <v>534</v>
      </c>
      <c r="AF19">
        <v>33</v>
      </c>
      <c r="AK19" s="49" t="s">
        <v>483</v>
      </c>
      <c r="AL19">
        <v>18</v>
      </c>
      <c r="AM19" s="49" t="s">
        <v>425</v>
      </c>
      <c r="AN19">
        <v>22</v>
      </c>
      <c r="AQ19" s="49" t="s">
        <v>631</v>
      </c>
      <c r="AR19">
        <v>30</v>
      </c>
      <c r="AS19" s="49" t="s">
        <v>631</v>
      </c>
      <c r="AT19">
        <v>60</v>
      </c>
      <c r="AY19" s="49" t="s">
        <v>570</v>
      </c>
      <c r="AZ19">
        <v>18</v>
      </c>
      <c r="BC19" s="49" t="s">
        <v>547</v>
      </c>
      <c r="BD19">
        <v>12</v>
      </c>
      <c r="BI19" s="49" t="s">
        <v>483</v>
      </c>
      <c r="BJ19">
        <v>18</v>
      </c>
      <c r="BK19" s="49" t="s">
        <v>767</v>
      </c>
      <c r="BL19">
        <v>4</v>
      </c>
      <c r="BM19" s="49" t="s">
        <v>631</v>
      </c>
      <c r="BN19">
        <v>30</v>
      </c>
      <c r="BO19" s="49" t="s">
        <v>631</v>
      </c>
      <c r="BP19">
        <v>60</v>
      </c>
      <c r="BY19" s="49" t="s">
        <v>570</v>
      </c>
      <c r="BZ19">
        <v>18</v>
      </c>
      <c r="CC19" s="49" t="s">
        <v>543</v>
      </c>
      <c r="CD19">
        <v>14</v>
      </c>
      <c r="CE19" s="49" t="s">
        <v>483</v>
      </c>
      <c r="CF19">
        <v>18</v>
      </c>
      <c r="CG19" s="49" t="s">
        <v>767</v>
      </c>
      <c r="CH19">
        <v>4</v>
      </c>
      <c r="CI19" s="49" t="s">
        <v>631</v>
      </c>
      <c r="CJ19">
        <v>30</v>
      </c>
      <c r="CK19" s="49" t="s">
        <v>631</v>
      </c>
      <c r="CL19">
        <v>60</v>
      </c>
      <c r="CU19" s="49" t="s">
        <v>570</v>
      </c>
      <c r="CV19">
        <v>18</v>
      </c>
      <c r="CY19" s="49" t="s">
        <v>543</v>
      </c>
      <c r="CZ19">
        <v>14</v>
      </c>
      <c r="DE19" s="49" t="s">
        <v>483</v>
      </c>
      <c r="DF19">
        <v>18</v>
      </c>
      <c r="DG19" s="49" t="s">
        <v>767</v>
      </c>
      <c r="DH19">
        <v>4</v>
      </c>
      <c r="DI19" s="49" t="s">
        <v>631</v>
      </c>
      <c r="DJ19">
        <v>30</v>
      </c>
      <c r="DK19" s="49" t="s">
        <v>631</v>
      </c>
      <c r="DL19">
        <v>60</v>
      </c>
      <c r="DY19" s="49" t="s">
        <v>570</v>
      </c>
      <c r="DZ19">
        <v>18</v>
      </c>
      <c r="EC19" s="49" t="s">
        <v>543</v>
      </c>
      <c r="ED19">
        <v>14</v>
      </c>
    </row>
    <row r="20" spans="3:134" x14ac:dyDescent="0.25">
      <c r="C20" s="49" t="s">
        <v>434</v>
      </c>
      <c r="D20">
        <v>13</v>
      </c>
      <c r="K20" s="49" t="s">
        <v>484</v>
      </c>
      <c r="L20">
        <v>19</v>
      </c>
      <c r="O20" s="49" t="s">
        <v>536</v>
      </c>
      <c r="P20">
        <v>38</v>
      </c>
      <c r="Q20" s="49" t="s">
        <v>571</v>
      </c>
      <c r="R20">
        <v>19</v>
      </c>
      <c r="S20" s="49" t="s">
        <v>484</v>
      </c>
      <c r="T20">
        <v>19</v>
      </c>
      <c r="W20" s="49" t="s">
        <v>632</v>
      </c>
      <c r="X20">
        <v>31</v>
      </c>
      <c r="Y20" s="49" t="s">
        <v>631</v>
      </c>
      <c r="Z20">
        <v>61</v>
      </c>
      <c r="AA20" s="49" t="s">
        <v>571</v>
      </c>
      <c r="AB20">
        <v>19</v>
      </c>
      <c r="AE20" s="49" t="s">
        <v>535</v>
      </c>
      <c r="AF20">
        <v>39</v>
      </c>
      <c r="AK20" s="49" t="s">
        <v>484</v>
      </c>
      <c r="AL20">
        <v>19</v>
      </c>
      <c r="AM20" s="49" t="s">
        <v>426</v>
      </c>
      <c r="AN20">
        <v>23</v>
      </c>
      <c r="AQ20" s="49" t="s">
        <v>632</v>
      </c>
      <c r="AR20">
        <v>31</v>
      </c>
      <c r="AS20" s="49" t="s">
        <v>631</v>
      </c>
      <c r="AT20">
        <v>61</v>
      </c>
      <c r="AY20" s="49" t="s">
        <v>571</v>
      </c>
      <c r="AZ20">
        <v>19</v>
      </c>
      <c r="BC20" s="49" t="s">
        <v>701</v>
      </c>
      <c r="BD20">
        <v>40</v>
      </c>
      <c r="BI20" s="49" t="s">
        <v>484</v>
      </c>
      <c r="BJ20">
        <v>19</v>
      </c>
      <c r="BK20" s="49" t="s">
        <v>768</v>
      </c>
      <c r="BL20">
        <v>5</v>
      </c>
      <c r="BM20" s="49" t="s">
        <v>632</v>
      </c>
      <c r="BN20">
        <v>31</v>
      </c>
      <c r="BO20" s="49" t="s">
        <v>631</v>
      </c>
      <c r="BP20">
        <v>61</v>
      </c>
      <c r="BY20" s="49" t="s">
        <v>571</v>
      </c>
      <c r="BZ20">
        <v>19</v>
      </c>
      <c r="CC20" s="49" t="s">
        <v>544</v>
      </c>
      <c r="CD20">
        <v>16</v>
      </c>
      <c r="CE20" s="49" t="s">
        <v>484</v>
      </c>
      <c r="CF20">
        <v>19</v>
      </c>
      <c r="CG20" s="49" t="s">
        <v>768</v>
      </c>
      <c r="CH20">
        <v>5</v>
      </c>
      <c r="CI20" s="49" t="s">
        <v>632</v>
      </c>
      <c r="CJ20">
        <v>31</v>
      </c>
      <c r="CK20" s="49" t="s">
        <v>631</v>
      </c>
      <c r="CL20">
        <v>61</v>
      </c>
      <c r="CU20" s="49" t="s">
        <v>571</v>
      </c>
      <c r="CV20">
        <v>19</v>
      </c>
      <c r="CY20" s="49" t="s">
        <v>544</v>
      </c>
      <c r="CZ20">
        <v>16</v>
      </c>
      <c r="DE20" s="49" t="s">
        <v>484</v>
      </c>
      <c r="DF20">
        <v>19</v>
      </c>
      <c r="DG20" s="49" t="s">
        <v>768</v>
      </c>
      <c r="DH20">
        <v>5</v>
      </c>
      <c r="DI20" s="49" t="s">
        <v>632</v>
      </c>
      <c r="DJ20">
        <v>31</v>
      </c>
      <c r="DK20" s="49" t="s">
        <v>631</v>
      </c>
      <c r="DL20">
        <v>61</v>
      </c>
      <c r="DY20" s="49" t="s">
        <v>571</v>
      </c>
      <c r="DZ20">
        <v>19</v>
      </c>
      <c r="EC20" s="49" t="s">
        <v>544</v>
      </c>
      <c r="ED20">
        <v>16</v>
      </c>
    </row>
    <row r="21" spans="3:134" x14ac:dyDescent="0.25">
      <c r="C21" s="49" t="s">
        <v>435</v>
      </c>
      <c r="D21">
        <v>14</v>
      </c>
      <c r="K21" s="49" t="s">
        <v>485</v>
      </c>
      <c r="L21">
        <v>20</v>
      </c>
      <c r="O21" s="49" t="s">
        <v>537</v>
      </c>
      <c r="P21">
        <v>15</v>
      </c>
      <c r="Q21" s="49" t="s">
        <v>572</v>
      </c>
      <c r="R21">
        <v>20</v>
      </c>
      <c r="S21" s="49" t="s">
        <v>485</v>
      </c>
      <c r="T21">
        <v>20</v>
      </c>
      <c r="W21" s="49" t="s">
        <v>633</v>
      </c>
      <c r="X21">
        <v>32</v>
      </c>
      <c r="Y21" s="49" t="s">
        <v>632</v>
      </c>
      <c r="Z21">
        <v>62</v>
      </c>
      <c r="AA21" s="49" t="s">
        <v>572</v>
      </c>
      <c r="AB21">
        <v>20</v>
      </c>
      <c r="AE21" s="49" t="s">
        <v>536</v>
      </c>
      <c r="AF21">
        <v>38</v>
      </c>
      <c r="AK21" s="49" t="s">
        <v>485</v>
      </c>
      <c r="AL21">
        <v>20</v>
      </c>
      <c r="AM21" s="49" t="s">
        <v>427</v>
      </c>
      <c r="AN21">
        <v>27</v>
      </c>
      <c r="AQ21" s="49" t="s">
        <v>633</v>
      </c>
      <c r="AR21">
        <v>32</v>
      </c>
      <c r="AS21" s="49" t="s">
        <v>632</v>
      </c>
      <c r="AT21">
        <v>62</v>
      </c>
      <c r="AY21" s="49" t="s">
        <v>572</v>
      </c>
      <c r="AZ21">
        <v>20</v>
      </c>
      <c r="BC21" s="49" t="s">
        <v>531</v>
      </c>
      <c r="BD21">
        <v>32</v>
      </c>
      <c r="BI21" s="49" t="s">
        <v>485</v>
      </c>
      <c r="BJ21">
        <v>20</v>
      </c>
      <c r="BK21" s="49" t="s">
        <v>769</v>
      </c>
      <c r="BL21">
        <v>6</v>
      </c>
      <c r="BM21" s="49" t="s">
        <v>633</v>
      </c>
      <c r="BN21">
        <v>32</v>
      </c>
      <c r="BO21" s="49" t="s">
        <v>632</v>
      </c>
      <c r="BP21">
        <v>62</v>
      </c>
      <c r="BY21" s="49" t="s">
        <v>572</v>
      </c>
      <c r="BZ21">
        <v>20</v>
      </c>
      <c r="CC21" s="49" t="s">
        <v>530</v>
      </c>
      <c r="CD21">
        <v>11</v>
      </c>
      <c r="CE21" s="49" t="s">
        <v>485</v>
      </c>
      <c r="CF21">
        <v>20</v>
      </c>
      <c r="CG21" s="49" t="s">
        <v>769</v>
      </c>
      <c r="CH21">
        <v>6</v>
      </c>
      <c r="CI21" s="49" t="s">
        <v>633</v>
      </c>
      <c r="CJ21">
        <v>32</v>
      </c>
      <c r="CK21" s="49" t="s">
        <v>632</v>
      </c>
      <c r="CL21">
        <v>62</v>
      </c>
      <c r="CU21" s="49" t="s">
        <v>572</v>
      </c>
      <c r="CV21">
        <v>20</v>
      </c>
      <c r="CY21" s="49" t="s">
        <v>530</v>
      </c>
      <c r="CZ21">
        <v>11</v>
      </c>
      <c r="DE21" s="49" t="s">
        <v>485</v>
      </c>
      <c r="DF21">
        <v>20</v>
      </c>
      <c r="DG21" s="49" t="s">
        <v>769</v>
      </c>
      <c r="DH21">
        <v>6</v>
      </c>
      <c r="DI21" s="49" t="s">
        <v>633</v>
      </c>
      <c r="DJ21">
        <v>32</v>
      </c>
      <c r="DK21" s="49" t="s">
        <v>632</v>
      </c>
      <c r="DL21">
        <v>62</v>
      </c>
      <c r="DY21" s="49" t="s">
        <v>572</v>
      </c>
      <c r="DZ21">
        <v>20</v>
      </c>
      <c r="EC21" s="49" t="s">
        <v>530</v>
      </c>
      <c r="ED21">
        <v>11</v>
      </c>
    </row>
    <row r="22" spans="3:134" x14ac:dyDescent="0.25">
      <c r="C22" s="49" t="s">
        <v>436</v>
      </c>
      <c r="D22">
        <v>15</v>
      </c>
      <c r="K22" s="49" t="s">
        <v>486</v>
      </c>
      <c r="L22">
        <v>21</v>
      </c>
      <c r="O22" s="49" t="s">
        <v>538</v>
      </c>
      <c r="P22">
        <v>27</v>
      </c>
      <c r="Q22" s="49" t="s">
        <v>573</v>
      </c>
      <c r="R22">
        <v>21</v>
      </c>
      <c r="S22" s="49" t="s">
        <v>486</v>
      </c>
      <c r="T22">
        <v>21</v>
      </c>
      <c r="W22" s="49" t="s">
        <v>634</v>
      </c>
      <c r="X22">
        <v>33</v>
      </c>
      <c r="Y22" s="49" t="s">
        <v>633</v>
      </c>
      <c r="Z22">
        <v>63</v>
      </c>
      <c r="AA22" s="49" t="s">
        <v>573</v>
      </c>
      <c r="AB22">
        <v>21</v>
      </c>
      <c r="AE22" s="49" t="s">
        <v>537</v>
      </c>
      <c r="AF22">
        <v>15</v>
      </c>
      <c r="AK22" s="49" t="s">
        <v>486</v>
      </c>
      <c r="AL22">
        <v>21</v>
      </c>
      <c r="AM22" s="49" t="s">
        <v>428</v>
      </c>
      <c r="AN22">
        <v>17</v>
      </c>
      <c r="AQ22" s="49" t="s">
        <v>634</v>
      </c>
      <c r="AR22">
        <v>33</v>
      </c>
      <c r="AS22" s="49" t="s">
        <v>633</v>
      </c>
      <c r="AT22">
        <v>63</v>
      </c>
      <c r="AY22" s="49" t="s">
        <v>573</v>
      </c>
      <c r="AZ22">
        <v>21</v>
      </c>
      <c r="BC22" s="49" t="s">
        <v>543</v>
      </c>
      <c r="BD22">
        <v>14</v>
      </c>
      <c r="BI22" s="49" t="s">
        <v>486</v>
      </c>
      <c r="BJ22">
        <v>21</v>
      </c>
      <c r="BK22" s="49" t="s">
        <v>770</v>
      </c>
      <c r="BL22">
        <v>7</v>
      </c>
      <c r="BM22" s="49" t="s">
        <v>634</v>
      </c>
      <c r="BN22">
        <v>33</v>
      </c>
      <c r="BO22" s="49" t="s">
        <v>633</v>
      </c>
      <c r="BP22">
        <v>63</v>
      </c>
      <c r="BY22" s="49" t="s">
        <v>573</v>
      </c>
      <c r="BZ22">
        <v>21</v>
      </c>
      <c r="CC22" s="49" t="s">
        <v>701</v>
      </c>
      <c r="CD22">
        <v>40</v>
      </c>
      <c r="CE22" s="49" t="s">
        <v>486</v>
      </c>
      <c r="CF22">
        <v>21</v>
      </c>
      <c r="CG22" s="49" t="s">
        <v>770</v>
      </c>
      <c r="CH22">
        <v>7</v>
      </c>
      <c r="CI22" s="49" t="s">
        <v>634</v>
      </c>
      <c r="CJ22">
        <v>33</v>
      </c>
      <c r="CK22" s="49" t="s">
        <v>633</v>
      </c>
      <c r="CL22">
        <v>63</v>
      </c>
      <c r="CU22" s="49" t="s">
        <v>573</v>
      </c>
      <c r="CV22">
        <v>21</v>
      </c>
      <c r="CY22" s="49" t="s">
        <v>701</v>
      </c>
      <c r="CZ22">
        <v>40</v>
      </c>
      <c r="DE22" s="49" t="s">
        <v>486</v>
      </c>
      <c r="DF22">
        <v>21</v>
      </c>
      <c r="DG22" s="49" t="s">
        <v>770</v>
      </c>
      <c r="DH22">
        <v>7</v>
      </c>
      <c r="DI22" s="49" t="s">
        <v>634</v>
      </c>
      <c r="DJ22">
        <v>33</v>
      </c>
      <c r="DK22" s="49" t="s">
        <v>633</v>
      </c>
      <c r="DL22">
        <v>63</v>
      </c>
      <c r="DY22" s="49" t="s">
        <v>573</v>
      </c>
      <c r="DZ22">
        <v>21</v>
      </c>
      <c r="EC22" s="49" t="s">
        <v>701</v>
      </c>
      <c r="ED22">
        <v>40</v>
      </c>
    </row>
    <row r="23" spans="3:134" x14ac:dyDescent="0.25">
      <c r="C23" s="49" t="s">
        <v>437</v>
      </c>
      <c r="D23">
        <v>5</v>
      </c>
      <c r="K23" s="49" t="s">
        <v>487</v>
      </c>
      <c r="L23">
        <v>22</v>
      </c>
      <c r="O23" s="49" t="s">
        <v>539</v>
      </c>
      <c r="P23">
        <v>30</v>
      </c>
      <c r="Q23" s="49" t="s">
        <v>574</v>
      </c>
      <c r="R23">
        <v>22</v>
      </c>
      <c r="S23" s="49" t="s">
        <v>487</v>
      </c>
      <c r="T23">
        <v>22</v>
      </c>
      <c r="W23" s="49" t="s">
        <v>635</v>
      </c>
      <c r="X23">
        <v>34</v>
      </c>
      <c r="Y23" s="49" t="s">
        <v>634</v>
      </c>
      <c r="Z23">
        <v>64</v>
      </c>
      <c r="AA23" s="49" t="s">
        <v>574</v>
      </c>
      <c r="AB23">
        <v>22</v>
      </c>
      <c r="AE23" s="49" t="s">
        <v>538</v>
      </c>
      <c r="AF23">
        <v>27</v>
      </c>
      <c r="AK23" s="49" t="s">
        <v>487</v>
      </c>
      <c r="AL23">
        <v>22</v>
      </c>
      <c r="AM23" s="49" t="s">
        <v>429</v>
      </c>
      <c r="AN23">
        <v>18</v>
      </c>
      <c r="AQ23" s="49" t="s">
        <v>635</v>
      </c>
      <c r="AR23">
        <v>34</v>
      </c>
      <c r="AS23" s="49" t="s">
        <v>634</v>
      </c>
      <c r="AT23">
        <v>64</v>
      </c>
      <c r="AY23" s="49" t="s">
        <v>574</v>
      </c>
      <c r="AZ23">
        <v>22</v>
      </c>
      <c r="BC23" s="49" t="s">
        <v>548</v>
      </c>
      <c r="BD23">
        <v>13</v>
      </c>
      <c r="BI23" s="49" t="s">
        <v>487</v>
      </c>
      <c r="BJ23">
        <v>22</v>
      </c>
      <c r="BK23" s="49" t="s">
        <v>771</v>
      </c>
      <c r="BL23">
        <v>8</v>
      </c>
      <c r="BM23" s="49" t="s">
        <v>635</v>
      </c>
      <c r="BN23">
        <v>34</v>
      </c>
      <c r="BO23" s="49" t="s">
        <v>634</v>
      </c>
      <c r="BP23">
        <v>64</v>
      </c>
      <c r="BY23" s="49" t="s">
        <v>574</v>
      </c>
      <c r="BZ23">
        <v>22</v>
      </c>
      <c r="CC23" s="49" t="s">
        <v>531</v>
      </c>
      <c r="CD23">
        <v>32</v>
      </c>
      <c r="CE23" s="49" t="s">
        <v>487</v>
      </c>
      <c r="CF23">
        <v>22</v>
      </c>
      <c r="CG23" s="49" t="s">
        <v>771</v>
      </c>
      <c r="CH23">
        <v>8</v>
      </c>
      <c r="CI23" s="49" t="s">
        <v>635</v>
      </c>
      <c r="CJ23">
        <v>34</v>
      </c>
      <c r="CK23" s="49" t="s">
        <v>634</v>
      </c>
      <c r="CL23">
        <v>64</v>
      </c>
      <c r="CU23" s="49" t="s">
        <v>574</v>
      </c>
      <c r="CV23">
        <v>22</v>
      </c>
      <c r="CY23" s="49" t="s">
        <v>531</v>
      </c>
      <c r="CZ23">
        <v>32</v>
      </c>
      <c r="DE23" s="49" t="s">
        <v>487</v>
      </c>
      <c r="DF23">
        <v>22</v>
      </c>
      <c r="DG23" s="49" t="s">
        <v>771</v>
      </c>
      <c r="DH23">
        <v>8</v>
      </c>
      <c r="DI23" s="49" t="s">
        <v>635</v>
      </c>
      <c r="DJ23">
        <v>34</v>
      </c>
      <c r="DK23" s="49" t="s">
        <v>634</v>
      </c>
      <c r="DL23">
        <v>64</v>
      </c>
      <c r="DY23" s="49" t="s">
        <v>574</v>
      </c>
      <c r="DZ23">
        <v>22</v>
      </c>
      <c r="EC23" s="49" t="s">
        <v>531</v>
      </c>
      <c r="ED23">
        <v>32</v>
      </c>
    </row>
    <row r="24" spans="3:134" x14ac:dyDescent="0.25">
      <c r="C24" s="49" t="s">
        <v>438</v>
      </c>
      <c r="D24">
        <v>6</v>
      </c>
      <c r="K24" s="49" t="s">
        <v>488</v>
      </c>
      <c r="L24">
        <v>23</v>
      </c>
      <c r="O24" s="49" t="s">
        <v>540</v>
      </c>
      <c r="P24">
        <v>22</v>
      </c>
      <c r="Q24" s="49" t="s">
        <v>575</v>
      </c>
      <c r="R24">
        <v>23</v>
      </c>
      <c r="S24" s="49" t="s">
        <v>488</v>
      </c>
      <c r="T24">
        <v>23</v>
      </c>
      <c r="W24" s="49" t="s">
        <v>636</v>
      </c>
      <c r="X24">
        <v>35</v>
      </c>
      <c r="Y24" s="49" t="s">
        <v>635</v>
      </c>
      <c r="Z24">
        <v>65</v>
      </c>
      <c r="AA24" s="49" t="s">
        <v>575</v>
      </c>
      <c r="AB24">
        <v>23</v>
      </c>
      <c r="AE24" s="49" t="s">
        <v>539</v>
      </c>
      <c r="AF24">
        <v>30</v>
      </c>
      <c r="AK24" s="49" t="s">
        <v>488</v>
      </c>
      <c r="AL24">
        <v>23</v>
      </c>
      <c r="AM24" s="49" t="s">
        <v>430</v>
      </c>
      <c r="AN24">
        <v>19</v>
      </c>
      <c r="AQ24" s="49" t="s">
        <v>636</v>
      </c>
      <c r="AR24">
        <v>35</v>
      </c>
      <c r="AS24" s="49" t="s">
        <v>635</v>
      </c>
      <c r="AT24">
        <v>65</v>
      </c>
      <c r="AY24" s="49" t="s">
        <v>575</v>
      </c>
      <c r="AZ24">
        <v>23</v>
      </c>
      <c r="BC24" s="49" t="s">
        <v>532</v>
      </c>
      <c r="BD24">
        <v>28</v>
      </c>
      <c r="BI24" s="49" t="s">
        <v>488</v>
      </c>
      <c r="BJ24">
        <v>23</v>
      </c>
      <c r="BK24" s="49" t="s">
        <v>772</v>
      </c>
      <c r="BL24">
        <v>9</v>
      </c>
      <c r="BM24" s="49" t="s">
        <v>636</v>
      </c>
      <c r="BN24">
        <v>35</v>
      </c>
      <c r="BO24" s="49" t="s">
        <v>635</v>
      </c>
      <c r="BP24">
        <v>65</v>
      </c>
      <c r="BY24" s="49" t="s">
        <v>575</v>
      </c>
      <c r="BZ24">
        <v>23</v>
      </c>
      <c r="CC24" s="49" t="s">
        <v>532</v>
      </c>
      <c r="CD24">
        <v>28</v>
      </c>
      <c r="CE24" s="49" t="s">
        <v>488</v>
      </c>
      <c r="CF24">
        <v>23</v>
      </c>
      <c r="CG24" s="49" t="s">
        <v>772</v>
      </c>
      <c r="CH24">
        <v>9</v>
      </c>
      <c r="CI24" s="49" t="s">
        <v>636</v>
      </c>
      <c r="CJ24">
        <v>35</v>
      </c>
      <c r="CK24" s="49" t="s">
        <v>635</v>
      </c>
      <c r="CL24">
        <v>65</v>
      </c>
      <c r="CU24" s="49" t="s">
        <v>575</v>
      </c>
      <c r="CV24">
        <v>23</v>
      </c>
      <c r="CY24" s="49" t="s">
        <v>532</v>
      </c>
      <c r="CZ24">
        <v>28</v>
      </c>
      <c r="DE24" s="49" t="s">
        <v>488</v>
      </c>
      <c r="DF24">
        <v>23</v>
      </c>
      <c r="DG24" s="49" t="s">
        <v>772</v>
      </c>
      <c r="DH24">
        <v>9</v>
      </c>
      <c r="DI24" s="49" t="s">
        <v>636</v>
      </c>
      <c r="DJ24">
        <v>35</v>
      </c>
      <c r="DK24" s="49" t="s">
        <v>635</v>
      </c>
      <c r="DL24">
        <v>65</v>
      </c>
      <c r="DY24" s="49" t="s">
        <v>575</v>
      </c>
      <c r="DZ24">
        <v>23</v>
      </c>
      <c r="EC24" s="49" t="s">
        <v>532</v>
      </c>
      <c r="ED24">
        <v>28</v>
      </c>
    </row>
    <row r="25" spans="3:134" x14ac:dyDescent="0.25">
      <c r="C25" s="49" t="s">
        <v>439</v>
      </c>
      <c r="D25">
        <v>7</v>
      </c>
      <c r="K25" s="49" t="s">
        <v>489</v>
      </c>
      <c r="L25">
        <v>24</v>
      </c>
      <c r="O25" s="49" t="s">
        <v>541</v>
      </c>
      <c r="P25">
        <v>21</v>
      </c>
      <c r="Q25" s="49" t="s">
        <v>576</v>
      </c>
      <c r="R25">
        <v>24</v>
      </c>
      <c r="S25" s="49" t="s">
        <v>489</v>
      </c>
      <c r="T25">
        <v>24</v>
      </c>
      <c r="W25" s="49" t="s">
        <v>637</v>
      </c>
      <c r="X25">
        <v>36</v>
      </c>
      <c r="Y25" s="49" t="s">
        <v>636</v>
      </c>
      <c r="Z25">
        <v>66</v>
      </c>
      <c r="AA25" s="49" t="s">
        <v>576</v>
      </c>
      <c r="AB25">
        <v>24</v>
      </c>
      <c r="AE25" s="49" t="s">
        <v>540</v>
      </c>
      <c r="AF25">
        <v>22</v>
      </c>
      <c r="AK25" s="49" t="s">
        <v>489</v>
      </c>
      <c r="AL25">
        <v>24</v>
      </c>
      <c r="AM25" s="49" t="s">
        <v>431</v>
      </c>
      <c r="AN25">
        <v>10</v>
      </c>
      <c r="AQ25" s="49" t="s">
        <v>637</v>
      </c>
      <c r="AR25">
        <v>36</v>
      </c>
      <c r="AS25" s="49" t="s">
        <v>636</v>
      </c>
      <c r="AT25">
        <v>66</v>
      </c>
      <c r="AY25" s="49" t="s">
        <v>576</v>
      </c>
      <c r="AZ25">
        <v>24</v>
      </c>
      <c r="BC25" s="49" t="s">
        <v>533</v>
      </c>
      <c r="BD25">
        <v>34</v>
      </c>
      <c r="BI25" s="49" t="s">
        <v>489</v>
      </c>
      <c r="BJ25">
        <v>24</v>
      </c>
      <c r="BK25" s="49" t="s">
        <v>773</v>
      </c>
      <c r="BL25">
        <v>10</v>
      </c>
      <c r="BM25" s="49" t="s">
        <v>637</v>
      </c>
      <c r="BN25">
        <v>36</v>
      </c>
      <c r="BO25" s="49" t="s">
        <v>636</v>
      </c>
      <c r="BP25">
        <v>66</v>
      </c>
      <c r="BY25" s="49" t="s">
        <v>576</v>
      </c>
      <c r="BZ25">
        <v>24</v>
      </c>
      <c r="CC25" s="49" t="s">
        <v>533</v>
      </c>
      <c r="CD25">
        <v>34</v>
      </c>
      <c r="CE25" s="49" t="s">
        <v>489</v>
      </c>
      <c r="CF25">
        <v>24</v>
      </c>
      <c r="CG25" s="49" t="s">
        <v>773</v>
      </c>
      <c r="CH25">
        <v>10</v>
      </c>
      <c r="CI25" s="49" t="s">
        <v>637</v>
      </c>
      <c r="CJ25">
        <v>36</v>
      </c>
      <c r="CK25" s="49" t="s">
        <v>636</v>
      </c>
      <c r="CL25">
        <v>66</v>
      </c>
      <c r="CU25" s="49" t="s">
        <v>576</v>
      </c>
      <c r="CV25">
        <v>24</v>
      </c>
      <c r="CY25" s="49" t="s">
        <v>533</v>
      </c>
      <c r="CZ25">
        <v>34</v>
      </c>
      <c r="DE25" s="49" t="s">
        <v>489</v>
      </c>
      <c r="DF25">
        <v>24</v>
      </c>
      <c r="DG25" s="49" t="s">
        <v>773</v>
      </c>
      <c r="DH25">
        <v>10</v>
      </c>
      <c r="DI25" s="49" t="s">
        <v>637</v>
      </c>
      <c r="DJ25">
        <v>36</v>
      </c>
      <c r="DK25" s="49" t="s">
        <v>636</v>
      </c>
      <c r="DL25">
        <v>66</v>
      </c>
      <c r="DY25" s="49" t="s">
        <v>576</v>
      </c>
      <c r="DZ25">
        <v>24</v>
      </c>
      <c r="EC25" s="49" t="s">
        <v>533</v>
      </c>
      <c r="ED25">
        <v>34</v>
      </c>
    </row>
    <row r="26" spans="3:134" x14ac:dyDescent="0.25">
      <c r="C26" s="49" t="s">
        <v>440</v>
      </c>
      <c r="D26">
        <v>16</v>
      </c>
      <c r="K26" s="49" t="s">
        <v>490</v>
      </c>
      <c r="L26">
        <v>25</v>
      </c>
      <c r="O26" s="49" t="s">
        <v>542</v>
      </c>
      <c r="P26">
        <v>1</v>
      </c>
      <c r="Q26" s="49" t="s">
        <v>577</v>
      </c>
      <c r="R26">
        <v>25</v>
      </c>
      <c r="S26" s="49" t="s">
        <v>490</v>
      </c>
      <c r="T26">
        <v>25</v>
      </c>
      <c r="W26" s="49" t="s">
        <v>638</v>
      </c>
      <c r="X26">
        <v>37</v>
      </c>
      <c r="Y26" s="49" t="s">
        <v>637</v>
      </c>
      <c r="Z26">
        <v>67</v>
      </c>
      <c r="AA26" s="49" t="s">
        <v>577</v>
      </c>
      <c r="AB26">
        <v>25</v>
      </c>
      <c r="AE26" s="49" t="s">
        <v>541</v>
      </c>
      <c r="AF26">
        <v>21</v>
      </c>
      <c r="AK26" s="49" t="s">
        <v>490</v>
      </c>
      <c r="AL26">
        <v>25</v>
      </c>
      <c r="AM26" s="49" t="s">
        <v>432</v>
      </c>
      <c r="AN26">
        <v>11</v>
      </c>
      <c r="AQ26" s="49" t="s">
        <v>638</v>
      </c>
      <c r="AR26">
        <v>37</v>
      </c>
      <c r="AS26" s="49" t="s">
        <v>637</v>
      </c>
      <c r="AT26">
        <v>67</v>
      </c>
      <c r="AY26" s="49" t="s">
        <v>577</v>
      </c>
      <c r="AZ26">
        <v>25</v>
      </c>
      <c r="BC26" s="49" t="s">
        <v>534</v>
      </c>
      <c r="BD26">
        <v>33</v>
      </c>
      <c r="BI26" s="49" t="s">
        <v>490</v>
      </c>
      <c r="BJ26">
        <v>25</v>
      </c>
      <c r="BK26" s="49" t="s">
        <v>774</v>
      </c>
      <c r="BL26">
        <v>11</v>
      </c>
      <c r="BM26" s="49" t="s">
        <v>638</v>
      </c>
      <c r="BN26">
        <v>37</v>
      </c>
      <c r="BO26" s="49" t="s">
        <v>637</v>
      </c>
      <c r="BP26">
        <v>67</v>
      </c>
      <c r="BY26" s="49" t="s">
        <v>577</v>
      </c>
      <c r="BZ26">
        <v>25</v>
      </c>
      <c r="CC26" s="49" t="s">
        <v>534</v>
      </c>
      <c r="CD26">
        <v>33</v>
      </c>
      <c r="CE26" s="49" t="s">
        <v>490</v>
      </c>
      <c r="CF26">
        <v>25</v>
      </c>
      <c r="CG26" s="49" t="s">
        <v>774</v>
      </c>
      <c r="CH26">
        <v>11</v>
      </c>
      <c r="CI26" s="49" t="s">
        <v>638</v>
      </c>
      <c r="CJ26">
        <v>37</v>
      </c>
      <c r="CK26" s="49" t="s">
        <v>637</v>
      </c>
      <c r="CL26">
        <v>67</v>
      </c>
      <c r="CU26" s="49" t="s">
        <v>577</v>
      </c>
      <c r="CV26">
        <v>25</v>
      </c>
      <c r="CY26" s="49" t="s">
        <v>534</v>
      </c>
      <c r="CZ26">
        <v>33</v>
      </c>
      <c r="DE26" s="49" t="s">
        <v>490</v>
      </c>
      <c r="DF26">
        <v>25</v>
      </c>
      <c r="DG26" s="49" t="s">
        <v>774</v>
      </c>
      <c r="DH26">
        <v>11</v>
      </c>
      <c r="DI26" s="49" t="s">
        <v>638</v>
      </c>
      <c r="DJ26">
        <v>37</v>
      </c>
      <c r="DK26" s="49" t="s">
        <v>637</v>
      </c>
      <c r="DL26">
        <v>67</v>
      </c>
      <c r="DY26" s="49" t="s">
        <v>577</v>
      </c>
      <c r="DZ26">
        <v>25</v>
      </c>
      <c r="EC26" s="49" t="s">
        <v>534</v>
      </c>
      <c r="ED26">
        <v>33</v>
      </c>
    </row>
    <row r="27" spans="3:134" x14ac:dyDescent="0.25">
      <c r="C27" s="49" t="s">
        <v>441</v>
      </c>
      <c r="D27">
        <v>8</v>
      </c>
      <c r="K27" s="49" t="s">
        <v>491</v>
      </c>
      <c r="L27">
        <v>26</v>
      </c>
      <c r="O27" s="49" t="s">
        <v>543</v>
      </c>
      <c r="P27">
        <v>14</v>
      </c>
      <c r="Q27" s="49" t="s">
        <v>578</v>
      </c>
      <c r="R27">
        <v>26</v>
      </c>
      <c r="S27" s="49" t="s">
        <v>491</v>
      </c>
      <c r="T27">
        <v>26</v>
      </c>
      <c r="W27" s="49" t="s">
        <v>639</v>
      </c>
      <c r="X27">
        <v>38</v>
      </c>
      <c r="Y27" s="49" t="s">
        <v>638</v>
      </c>
      <c r="Z27">
        <v>68</v>
      </c>
      <c r="AA27" s="49" t="s">
        <v>578</v>
      </c>
      <c r="AB27">
        <v>26</v>
      </c>
      <c r="AE27" s="49" t="s">
        <v>542</v>
      </c>
      <c r="AF27">
        <v>1</v>
      </c>
      <c r="AK27" s="49" t="s">
        <v>491</v>
      </c>
      <c r="AL27">
        <v>26</v>
      </c>
      <c r="AM27" s="49" t="s">
        <v>433</v>
      </c>
      <c r="AN27">
        <v>12</v>
      </c>
      <c r="AQ27" s="49" t="s">
        <v>639</v>
      </c>
      <c r="AR27">
        <v>38</v>
      </c>
      <c r="AS27" s="49" t="s">
        <v>638</v>
      </c>
      <c r="AT27">
        <v>68</v>
      </c>
      <c r="AY27" s="49" t="s">
        <v>578</v>
      </c>
      <c r="AZ27">
        <v>26</v>
      </c>
      <c r="BC27" s="49" t="s">
        <v>535</v>
      </c>
      <c r="BD27">
        <v>39</v>
      </c>
      <c r="BI27" s="49" t="s">
        <v>491</v>
      </c>
      <c r="BJ27">
        <v>26</v>
      </c>
      <c r="BK27" s="49" t="s">
        <v>775</v>
      </c>
      <c r="BL27">
        <v>12</v>
      </c>
      <c r="BM27" s="49" t="s">
        <v>639</v>
      </c>
      <c r="BN27">
        <v>38</v>
      </c>
      <c r="BO27" s="49" t="s">
        <v>638</v>
      </c>
      <c r="BP27">
        <v>68</v>
      </c>
      <c r="BY27" s="49" t="s">
        <v>578</v>
      </c>
      <c r="BZ27">
        <v>26</v>
      </c>
      <c r="CC27" s="49" t="s">
        <v>535</v>
      </c>
      <c r="CD27">
        <v>39</v>
      </c>
      <c r="CE27" s="49" t="s">
        <v>491</v>
      </c>
      <c r="CF27">
        <v>26</v>
      </c>
      <c r="CG27" s="49" t="s">
        <v>775</v>
      </c>
      <c r="CH27">
        <v>12</v>
      </c>
      <c r="CI27" s="49" t="s">
        <v>639</v>
      </c>
      <c r="CJ27">
        <v>38</v>
      </c>
      <c r="CK27" s="49" t="s">
        <v>638</v>
      </c>
      <c r="CL27">
        <v>68</v>
      </c>
      <c r="CU27" s="49" t="s">
        <v>578</v>
      </c>
      <c r="CV27">
        <v>26</v>
      </c>
      <c r="CY27" s="49" t="s">
        <v>535</v>
      </c>
      <c r="CZ27">
        <v>39</v>
      </c>
      <c r="DE27" s="49" t="s">
        <v>491</v>
      </c>
      <c r="DF27">
        <v>26</v>
      </c>
      <c r="DG27" s="49" t="s">
        <v>775</v>
      </c>
      <c r="DH27">
        <v>12</v>
      </c>
      <c r="DI27" s="49" t="s">
        <v>639</v>
      </c>
      <c r="DJ27">
        <v>38</v>
      </c>
      <c r="DK27" s="49" t="s">
        <v>638</v>
      </c>
      <c r="DL27">
        <v>68</v>
      </c>
      <c r="DY27" s="49" t="s">
        <v>578</v>
      </c>
      <c r="DZ27">
        <v>26</v>
      </c>
      <c r="EC27" s="49" t="s">
        <v>535</v>
      </c>
      <c r="ED27">
        <v>39</v>
      </c>
    </row>
    <row r="28" spans="3:134" x14ac:dyDescent="0.25">
      <c r="K28" s="49" t="s">
        <v>492</v>
      </c>
      <c r="L28">
        <v>27</v>
      </c>
      <c r="O28" s="49" t="s">
        <v>544</v>
      </c>
      <c r="P28">
        <v>16</v>
      </c>
      <c r="Q28" s="49" t="s">
        <v>579</v>
      </c>
      <c r="R28">
        <v>27</v>
      </c>
      <c r="S28" s="49" t="s">
        <v>492</v>
      </c>
      <c r="T28">
        <v>27</v>
      </c>
      <c r="W28" s="49" t="s">
        <v>640</v>
      </c>
      <c r="X28">
        <v>39</v>
      </c>
      <c r="Y28" s="49" t="s">
        <v>639</v>
      </c>
      <c r="Z28">
        <v>69</v>
      </c>
      <c r="AA28" s="49" t="s">
        <v>579</v>
      </c>
      <c r="AB28">
        <v>27</v>
      </c>
      <c r="AE28" s="49" t="s">
        <v>543</v>
      </c>
      <c r="AF28">
        <v>14</v>
      </c>
      <c r="AK28" s="49" t="s">
        <v>492</v>
      </c>
      <c r="AL28">
        <v>27</v>
      </c>
      <c r="AM28" s="49" t="s">
        <v>434</v>
      </c>
      <c r="AN28">
        <v>13</v>
      </c>
      <c r="AQ28" s="49" t="s">
        <v>640</v>
      </c>
      <c r="AR28">
        <v>39</v>
      </c>
      <c r="AS28" s="49" t="s">
        <v>639</v>
      </c>
      <c r="AT28">
        <v>69</v>
      </c>
      <c r="AY28" s="49" t="s">
        <v>579</v>
      </c>
      <c r="AZ28">
        <v>27</v>
      </c>
      <c r="BC28" s="49" t="s">
        <v>549</v>
      </c>
      <c r="BD28">
        <v>2</v>
      </c>
      <c r="BI28" s="49" t="s">
        <v>492</v>
      </c>
      <c r="BJ28">
        <v>27</v>
      </c>
      <c r="BK28" s="49" t="s">
        <v>776</v>
      </c>
      <c r="BL28">
        <v>13</v>
      </c>
      <c r="BM28" s="49" t="s">
        <v>640</v>
      </c>
      <c r="BN28">
        <v>39</v>
      </c>
      <c r="BO28" s="49" t="s">
        <v>639</v>
      </c>
      <c r="BP28">
        <v>69</v>
      </c>
      <c r="BY28" s="49" t="s">
        <v>579</v>
      </c>
      <c r="BZ28">
        <v>27</v>
      </c>
      <c r="CC28" s="49" t="s">
        <v>536</v>
      </c>
      <c r="CD28">
        <v>38</v>
      </c>
      <c r="CE28" s="49" t="s">
        <v>492</v>
      </c>
      <c r="CF28">
        <v>27</v>
      </c>
      <c r="CG28" s="49" t="s">
        <v>776</v>
      </c>
      <c r="CH28">
        <v>13</v>
      </c>
      <c r="CI28" s="49" t="s">
        <v>640</v>
      </c>
      <c r="CJ28">
        <v>39</v>
      </c>
      <c r="CK28" s="49" t="s">
        <v>639</v>
      </c>
      <c r="CL28">
        <v>69</v>
      </c>
      <c r="CU28" s="49" t="s">
        <v>579</v>
      </c>
      <c r="CV28">
        <v>27</v>
      </c>
      <c r="CY28" s="49" t="s">
        <v>536</v>
      </c>
      <c r="CZ28">
        <v>38</v>
      </c>
      <c r="DE28" s="49" t="s">
        <v>492</v>
      </c>
      <c r="DF28">
        <v>27</v>
      </c>
      <c r="DG28" s="49" t="s">
        <v>776</v>
      </c>
      <c r="DH28">
        <v>13</v>
      </c>
      <c r="DI28" s="49" t="s">
        <v>640</v>
      </c>
      <c r="DJ28">
        <v>39</v>
      </c>
      <c r="DK28" s="49" t="s">
        <v>639</v>
      </c>
      <c r="DL28">
        <v>69</v>
      </c>
      <c r="DY28" s="49" t="s">
        <v>579</v>
      </c>
      <c r="DZ28">
        <v>27</v>
      </c>
      <c r="EC28" s="49" t="s">
        <v>536</v>
      </c>
      <c r="ED28">
        <v>38</v>
      </c>
    </row>
    <row r="29" spans="3:134" x14ac:dyDescent="0.25">
      <c r="K29" s="49" t="s">
        <v>493</v>
      </c>
      <c r="L29">
        <v>28</v>
      </c>
      <c r="O29" s="49" t="s">
        <v>545</v>
      </c>
      <c r="P29">
        <v>4</v>
      </c>
      <c r="Q29" s="49" t="s">
        <v>580</v>
      </c>
      <c r="R29">
        <v>28</v>
      </c>
      <c r="S29" s="49" t="s">
        <v>493</v>
      </c>
      <c r="T29">
        <v>28</v>
      </c>
      <c r="W29" s="49" t="s">
        <v>641</v>
      </c>
      <c r="X29">
        <v>40</v>
      </c>
      <c r="Y29" s="49" t="s">
        <v>640</v>
      </c>
      <c r="Z29">
        <v>70</v>
      </c>
      <c r="AA29" s="49" t="s">
        <v>580</v>
      </c>
      <c r="AB29">
        <v>28</v>
      </c>
      <c r="AE29" s="49" t="s">
        <v>544</v>
      </c>
      <c r="AF29">
        <v>16</v>
      </c>
      <c r="AK29" s="49" t="s">
        <v>493</v>
      </c>
      <c r="AL29">
        <v>28</v>
      </c>
      <c r="AM29" s="49" t="s">
        <v>435</v>
      </c>
      <c r="AN29">
        <v>14</v>
      </c>
      <c r="AQ29" s="49" t="s">
        <v>641</v>
      </c>
      <c r="AR29">
        <v>40</v>
      </c>
      <c r="AS29" s="49" t="s">
        <v>640</v>
      </c>
      <c r="AT29">
        <v>70</v>
      </c>
      <c r="AY29" s="49" t="s">
        <v>580</v>
      </c>
      <c r="AZ29">
        <v>28</v>
      </c>
      <c r="BC29" s="49" t="s">
        <v>536</v>
      </c>
      <c r="BD29">
        <v>38</v>
      </c>
      <c r="BI29" s="49" t="s">
        <v>493</v>
      </c>
      <c r="BJ29">
        <v>28</v>
      </c>
      <c r="BK29" s="49" t="s">
        <v>777</v>
      </c>
      <c r="BL29">
        <v>14</v>
      </c>
      <c r="BM29" s="49" t="s">
        <v>641</v>
      </c>
      <c r="BN29">
        <v>40</v>
      </c>
      <c r="BO29" s="49" t="s">
        <v>640</v>
      </c>
      <c r="BP29">
        <v>70</v>
      </c>
      <c r="BY29" s="49" t="s">
        <v>580</v>
      </c>
      <c r="BZ29">
        <v>28</v>
      </c>
      <c r="CC29" s="49" t="s">
        <v>537</v>
      </c>
      <c r="CD29">
        <v>15</v>
      </c>
      <c r="CE29" s="49" t="s">
        <v>493</v>
      </c>
      <c r="CF29">
        <v>28</v>
      </c>
      <c r="CG29" s="49" t="s">
        <v>777</v>
      </c>
      <c r="CH29">
        <v>14</v>
      </c>
      <c r="CI29" s="49" t="s">
        <v>641</v>
      </c>
      <c r="CJ29">
        <v>40</v>
      </c>
      <c r="CK29" s="49" t="s">
        <v>640</v>
      </c>
      <c r="CL29">
        <v>70</v>
      </c>
      <c r="CU29" s="49" t="s">
        <v>580</v>
      </c>
      <c r="CV29">
        <v>28</v>
      </c>
      <c r="CY29" s="49" t="s">
        <v>537</v>
      </c>
      <c r="CZ29">
        <v>15</v>
      </c>
      <c r="DE29" s="49" t="s">
        <v>493</v>
      </c>
      <c r="DF29">
        <v>28</v>
      </c>
      <c r="DG29" s="49" t="s">
        <v>777</v>
      </c>
      <c r="DH29">
        <v>14</v>
      </c>
      <c r="DI29" s="49" t="s">
        <v>641</v>
      </c>
      <c r="DJ29">
        <v>40</v>
      </c>
      <c r="DK29" s="49" t="s">
        <v>640</v>
      </c>
      <c r="DL29">
        <v>70</v>
      </c>
      <c r="DY29" s="49" t="s">
        <v>580</v>
      </c>
      <c r="DZ29">
        <v>28</v>
      </c>
      <c r="EC29" s="49" t="s">
        <v>537</v>
      </c>
      <c r="ED29">
        <v>15</v>
      </c>
    </row>
    <row r="30" spans="3:134" x14ac:dyDescent="0.25">
      <c r="K30" s="49" t="s">
        <v>383</v>
      </c>
      <c r="L30">
        <v>29</v>
      </c>
      <c r="O30" s="49" t="s">
        <v>546</v>
      </c>
      <c r="P30">
        <v>5</v>
      </c>
      <c r="Q30" s="49" t="s">
        <v>581</v>
      </c>
      <c r="R30">
        <v>29</v>
      </c>
      <c r="S30" s="49" t="s">
        <v>383</v>
      </c>
      <c r="T30">
        <v>29</v>
      </c>
      <c r="W30" s="49" t="s">
        <v>642</v>
      </c>
      <c r="X30">
        <v>41</v>
      </c>
      <c r="Y30" s="49" t="s">
        <v>641</v>
      </c>
      <c r="Z30">
        <v>71</v>
      </c>
      <c r="AA30" s="49" t="s">
        <v>581</v>
      </c>
      <c r="AB30">
        <v>29</v>
      </c>
      <c r="AE30" s="49" t="s">
        <v>545</v>
      </c>
      <c r="AF30">
        <v>4</v>
      </c>
      <c r="AK30" s="49" t="s">
        <v>383</v>
      </c>
      <c r="AL30">
        <v>29</v>
      </c>
      <c r="AM30" s="49" t="s">
        <v>436</v>
      </c>
      <c r="AN30">
        <v>15</v>
      </c>
      <c r="AQ30" s="49" t="s">
        <v>642</v>
      </c>
      <c r="AR30">
        <v>41</v>
      </c>
      <c r="AS30" s="49" t="s">
        <v>641</v>
      </c>
      <c r="AT30">
        <v>71</v>
      </c>
      <c r="AY30" s="49" t="s">
        <v>581</v>
      </c>
      <c r="AZ30">
        <v>29</v>
      </c>
      <c r="BC30" s="49" t="s">
        <v>537</v>
      </c>
      <c r="BD30">
        <v>15</v>
      </c>
      <c r="BI30" s="49" t="s">
        <v>383</v>
      </c>
      <c r="BJ30">
        <v>29</v>
      </c>
      <c r="BK30" s="49" t="s">
        <v>778</v>
      </c>
      <c r="BL30">
        <v>15</v>
      </c>
      <c r="BM30" s="49" t="s">
        <v>642</v>
      </c>
      <c r="BN30">
        <v>41</v>
      </c>
      <c r="BO30" s="49" t="s">
        <v>641</v>
      </c>
      <c r="BP30">
        <v>71</v>
      </c>
      <c r="BY30" s="49" t="s">
        <v>581</v>
      </c>
      <c r="BZ30">
        <v>29</v>
      </c>
      <c r="CC30" s="49" t="s">
        <v>538</v>
      </c>
      <c r="CD30">
        <v>27</v>
      </c>
      <c r="CE30" s="49" t="s">
        <v>383</v>
      </c>
      <c r="CF30">
        <v>29</v>
      </c>
      <c r="CG30" s="49" t="s">
        <v>778</v>
      </c>
      <c r="CH30">
        <v>15</v>
      </c>
      <c r="CI30" s="49" t="s">
        <v>642</v>
      </c>
      <c r="CJ30">
        <v>41</v>
      </c>
      <c r="CK30" s="49" t="s">
        <v>641</v>
      </c>
      <c r="CL30">
        <v>71</v>
      </c>
      <c r="CU30" s="49" t="s">
        <v>581</v>
      </c>
      <c r="CV30">
        <v>29</v>
      </c>
      <c r="CY30" s="49" t="s">
        <v>538</v>
      </c>
      <c r="CZ30">
        <v>27</v>
      </c>
      <c r="DE30" s="49" t="s">
        <v>383</v>
      </c>
      <c r="DF30">
        <v>29</v>
      </c>
      <c r="DG30" s="49" t="s">
        <v>778</v>
      </c>
      <c r="DH30">
        <v>15</v>
      </c>
      <c r="DI30" s="49" t="s">
        <v>642</v>
      </c>
      <c r="DJ30">
        <v>41</v>
      </c>
      <c r="DK30" s="49" t="s">
        <v>641</v>
      </c>
      <c r="DL30">
        <v>71</v>
      </c>
      <c r="DY30" s="49" t="s">
        <v>581</v>
      </c>
      <c r="DZ30">
        <v>29</v>
      </c>
      <c r="EC30" s="49" t="s">
        <v>538</v>
      </c>
      <c r="ED30">
        <v>27</v>
      </c>
    </row>
    <row r="31" spans="3:134" x14ac:dyDescent="0.25">
      <c r="K31" s="49" t="s">
        <v>389</v>
      </c>
      <c r="L31">
        <v>30</v>
      </c>
      <c r="O31" s="49" t="s">
        <v>547</v>
      </c>
      <c r="P31">
        <v>12</v>
      </c>
      <c r="Q31" s="49" t="s">
        <v>582</v>
      </c>
      <c r="R31">
        <v>30</v>
      </c>
      <c r="S31" s="49" t="s">
        <v>389</v>
      </c>
      <c r="T31">
        <v>30</v>
      </c>
      <c r="W31" s="49" t="s">
        <v>643</v>
      </c>
      <c r="X31">
        <v>42</v>
      </c>
      <c r="Y31" s="49" t="s">
        <v>642</v>
      </c>
      <c r="Z31">
        <v>72</v>
      </c>
      <c r="AA31" s="49" t="s">
        <v>582</v>
      </c>
      <c r="AB31">
        <v>30</v>
      </c>
      <c r="AE31" s="49" t="s">
        <v>546</v>
      </c>
      <c r="AF31">
        <v>5</v>
      </c>
      <c r="AK31" s="49" t="s">
        <v>389</v>
      </c>
      <c r="AL31">
        <v>30</v>
      </c>
      <c r="AM31" s="49" t="s">
        <v>437</v>
      </c>
      <c r="AN31">
        <v>5</v>
      </c>
      <c r="AQ31" s="49" t="s">
        <v>643</v>
      </c>
      <c r="AR31">
        <v>42</v>
      </c>
      <c r="AS31" s="49" t="s">
        <v>642</v>
      </c>
      <c r="AT31">
        <v>72</v>
      </c>
      <c r="AY31" s="49" t="s">
        <v>582</v>
      </c>
      <c r="AZ31">
        <v>30</v>
      </c>
      <c r="BC31" s="49" t="s">
        <v>544</v>
      </c>
      <c r="BD31">
        <v>16</v>
      </c>
      <c r="BI31" s="49" t="s">
        <v>389</v>
      </c>
      <c r="BJ31">
        <v>30</v>
      </c>
      <c r="BK31" s="49" t="s">
        <v>779</v>
      </c>
      <c r="BL31">
        <v>16</v>
      </c>
      <c r="BM31" s="49" t="s">
        <v>643</v>
      </c>
      <c r="BN31">
        <v>42</v>
      </c>
      <c r="BO31" s="49" t="s">
        <v>642</v>
      </c>
      <c r="BP31">
        <v>72</v>
      </c>
      <c r="BY31" s="49" t="s">
        <v>582</v>
      </c>
      <c r="BZ31">
        <v>30</v>
      </c>
      <c r="CC31" s="49" t="s">
        <v>798</v>
      </c>
      <c r="CD31">
        <v>46</v>
      </c>
      <c r="CE31" s="49" t="s">
        <v>389</v>
      </c>
      <c r="CF31">
        <v>30</v>
      </c>
      <c r="CG31" s="49" t="s">
        <v>779</v>
      </c>
      <c r="CH31">
        <v>16</v>
      </c>
      <c r="CI31" s="49" t="s">
        <v>643</v>
      </c>
      <c r="CJ31">
        <v>42</v>
      </c>
      <c r="CK31" s="49" t="s">
        <v>642</v>
      </c>
      <c r="CL31">
        <v>72</v>
      </c>
      <c r="CU31" s="49" t="s">
        <v>582</v>
      </c>
      <c r="CV31">
        <v>30</v>
      </c>
      <c r="CY31" s="49" t="s">
        <v>798</v>
      </c>
      <c r="CZ31">
        <v>46</v>
      </c>
      <c r="DE31" s="49" t="s">
        <v>389</v>
      </c>
      <c r="DF31">
        <v>30</v>
      </c>
      <c r="DG31" s="49" t="s">
        <v>779</v>
      </c>
      <c r="DH31">
        <v>16</v>
      </c>
      <c r="DI31" s="49" t="s">
        <v>643</v>
      </c>
      <c r="DJ31">
        <v>42</v>
      </c>
      <c r="DK31" s="49" t="s">
        <v>642</v>
      </c>
      <c r="DL31">
        <v>72</v>
      </c>
      <c r="DY31" s="49" t="s">
        <v>582</v>
      </c>
      <c r="DZ31">
        <v>30</v>
      </c>
      <c r="EC31" s="49" t="s">
        <v>798</v>
      </c>
      <c r="ED31">
        <v>46</v>
      </c>
    </row>
    <row r="32" spans="3:134" x14ac:dyDescent="0.25">
      <c r="K32" s="49" t="s">
        <v>390</v>
      </c>
      <c r="L32">
        <v>31</v>
      </c>
      <c r="O32" s="49" t="s">
        <v>548</v>
      </c>
      <c r="P32">
        <v>13</v>
      </c>
      <c r="Q32" s="49" t="s">
        <v>583</v>
      </c>
      <c r="R32">
        <v>31</v>
      </c>
      <c r="S32" s="49" t="s">
        <v>390</v>
      </c>
      <c r="T32">
        <v>31</v>
      </c>
      <c r="Y32" s="49" t="s">
        <v>643</v>
      </c>
      <c r="Z32">
        <v>73</v>
      </c>
      <c r="AA32" s="49" t="s">
        <v>583</v>
      </c>
      <c r="AB32">
        <v>31</v>
      </c>
      <c r="AE32" s="49" t="s">
        <v>547</v>
      </c>
      <c r="AF32">
        <v>12</v>
      </c>
      <c r="AK32" s="49" t="s">
        <v>390</v>
      </c>
      <c r="AL32">
        <v>31</v>
      </c>
      <c r="AM32" s="49" t="s">
        <v>438</v>
      </c>
      <c r="AN32">
        <v>6</v>
      </c>
      <c r="AS32" s="49" t="s">
        <v>643</v>
      </c>
      <c r="AT32">
        <v>73</v>
      </c>
      <c r="AY32" s="49" t="s">
        <v>583</v>
      </c>
      <c r="AZ32">
        <v>31</v>
      </c>
      <c r="BC32" s="49" t="s">
        <v>538</v>
      </c>
      <c r="BD32">
        <v>27</v>
      </c>
      <c r="BI32" s="49" t="s">
        <v>390</v>
      </c>
      <c r="BJ32">
        <v>31</v>
      </c>
      <c r="BK32" s="49" t="s">
        <v>780</v>
      </c>
      <c r="BL32">
        <v>17</v>
      </c>
      <c r="BO32" s="49" t="s">
        <v>643</v>
      </c>
      <c r="BP32">
        <v>73</v>
      </c>
      <c r="BY32" s="49" t="s">
        <v>583</v>
      </c>
      <c r="BZ32">
        <v>31</v>
      </c>
      <c r="CC32" s="49" t="s">
        <v>799</v>
      </c>
      <c r="CD32">
        <v>45</v>
      </c>
      <c r="CE32" s="49" t="s">
        <v>390</v>
      </c>
      <c r="CF32">
        <v>31</v>
      </c>
      <c r="CG32" s="49" t="s">
        <v>780</v>
      </c>
      <c r="CH32">
        <v>17</v>
      </c>
      <c r="CK32" s="49" t="s">
        <v>643</v>
      </c>
      <c r="CL32">
        <v>73</v>
      </c>
      <c r="CU32" s="49" t="s">
        <v>583</v>
      </c>
      <c r="CV32">
        <v>31</v>
      </c>
      <c r="CY32" s="49" t="s">
        <v>799</v>
      </c>
      <c r="CZ32">
        <v>45</v>
      </c>
      <c r="DE32" s="49" t="s">
        <v>390</v>
      </c>
      <c r="DF32">
        <v>31</v>
      </c>
      <c r="DG32" s="49" t="s">
        <v>780</v>
      </c>
      <c r="DH32">
        <v>17</v>
      </c>
      <c r="DK32" s="49" t="s">
        <v>643</v>
      </c>
      <c r="DL32">
        <v>73</v>
      </c>
      <c r="DY32" s="49" t="s">
        <v>583</v>
      </c>
      <c r="DZ32">
        <v>31</v>
      </c>
      <c r="EC32" s="49" t="s">
        <v>799</v>
      </c>
      <c r="ED32">
        <v>45</v>
      </c>
    </row>
    <row r="33" spans="11:134" x14ac:dyDescent="0.25">
      <c r="K33" s="49" t="s">
        <v>396</v>
      </c>
      <c r="L33">
        <v>32</v>
      </c>
      <c r="O33" s="49" t="s">
        <v>549</v>
      </c>
      <c r="P33">
        <v>2</v>
      </c>
      <c r="Q33" s="49" t="s">
        <v>584</v>
      </c>
      <c r="R33">
        <v>32</v>
      </c>
      <c r="S33" s="49" t="s">
        <v>396</v>
      </c>
      <c r="T33">
        <v>32</v>
      </c>
      <c r="Y33" s="49" t="s">
        <v>644</v>
      </c>
      <c r="Z33">
        <v>74</v>
      </c>
      <c r="AA33" s="49" t="s">
        <v>584</v>
      </c>
      <c r="AB33">
        <v>32</v>
      </c>
      <c r="AE33" s="49" t="s">
        <v>548</v>
      </c>
      <c r="AF33">
        <v>13</v>
      </c>
      <c r="AK33" s="49" t="s">
        <v>396</v>
      </c>
      <c r="AL33">
        <v>32</v>
      </c>
      <c r="AM33" s="49" t="s">
        <v>439</v>
      </c>
      <c r="AN33">
        <v>7</v>
      </c>
      <c r="AS33" s="49" t="s">
        <v>644</v>
      </c>
      <c r="AT33">
        <v>74</v>
      </c>
      <c r="AY33" s="49" t="s">
        <v>584</v>
      </c>
      <c r="AZ33">
        <v>32</v>
      </c>
      <c r="BC33" s="49" t="s">
        <v>550</v>
      </c>
      <c r="BD33">
        <v>18</v>
      </c>
      <c r="BI33" s="49" t="s">
        <v>396</v>
      </c>
      <c r="BJ33">
        <v>32</v>
      </c>
      <c r="BK33" s="49" t="s">
        <v>781</v>
      </c>
      <c r="BL33">
        <v>18</v>
      </c>
      <c r="BO33" s="49" t="s">
        <v>644</v>
      </c>
      <c r="BP33">
        <v>74</v>
      </c>
      <c r="BY33" s="49" t="s">
        <v>584</v>
      </c>
      <c r="BZ33">
        <v>32</v>
      </c>
      <c r="CC33" s="49" t="s">
        <v>800</v>
      </c>
      <c r="CD33">
        <v>44</v>
      </c>
      <c r="CE33" s="49" t="s">
        <v>396</v>
      </c>
      <c r="CF33">
        <v>32</v>
      </c>
      <c r="CG33" s="49" t="s">
        <v>781</v>
      </c>
      <c r="CH33">
        <v>18</v>
      </c>
      <c r="CK33" s="49" t="s">
        <v>644</v>
      </c>
      <c r="CL33">
        <v>74</v>
      </c>
      <c r="CU33" s="49" t="s">
        <v>584</v>
      </c>
      <c r="CV33">
        <v>32</v>
      </c>
      <c r="CY33" s="49" t="s">
        <v>800</v>
      </c>
      <c r="CZ33">
        <v>44</v>
      </c>
      <c r="DE33" s="49" t="s">
        <v>396</v>
      </c>
      <c r="DF33">
        <v>32</v>
      </c>
      <c r="DG33" s="49" t="s">
        <v>781</v>
      </c>
      <c r="DH33">
        <v>18</v>
      </c>
      <c r="DK33" s="49" t="s">
        <v>644</v>
      </c>
      <c r="DL33">
        <v>74</v>
      </c>
      <c r="DY33" s="49" t="s">
        <v>584</v>
      </c>
      <c r="DZ33">
        <v>32</v>
      </c>
      <c r="EC33" s="49" t="s">
        <v>800</v>
      </c>
      <c r="ED33">
        <v>44</v>
      </c>
    </row>
    <row r="34" spans="11:134" x14ac:dyDescent="0.25">
      <c r="K34" s="49" t="s">
        <v>398</v>
      </c>
      <c r="L34">
        <v>33</v>
      </c>
      <c r="O34" s="49" t="s">
        <v>550</v>
      </c>
      <c r="P34">
        <v>18</v>
      </c>
      <c r="Q34" s="49" t="s">
        <v>585</v>
      </c>
      <c r="R34">
        <v>33</v>
      </c>
      <c r="S34" s="49" t="s">
        <v>398</v>
      </c>
      <c r="T34">
        <v>33</v>
      </c>
      <c r="Y34" s="49" t="s">
        <v>645</v>
      </c>
      <c r="Z34">
        <v>75</v>
      </c>
      <c r="AA34" s="49" t="s">
        <v>585</v>
      </c>
      <c r="AB34">
        <v>33</v>
      </c>
      <c r="AE34" s="49" t="s">
        <v>549</v>
      </c>
      <c r="AF34">
        <v>2</v>
      </c>
      <c r="AK34" s="49" t="s">
        <v>398</v>
      </c>
      <c r="AL34">
        <v>33</v>
      </c>
      <c r="AM34" s="49" t="s">
        <v>440</v>
      </c>
      <c r="AN34">
        <v>16</v>
      </c>
      <c r="AS34" s="49" t="s">
        <v>645</v>
      </c>
      <c r="AT34">
        <v>75</v>
      </c>
      <c r="AY34" s="49" t="s">
        <v>585</v>
      </c>
      <c r="AZ34">
        <v>33</v>
      </c>
      <c r="BC34" s="49" t="s">
        <v>539</v>
      </c>
      <c r="BD34">
        <v>30</v>
      </c>
      <c r="BI34" s="49" t="s">
        <v>398</v>
      </c>
      <c r="BJ34">
        <v>33</v>
      </c>
      <c r="BK34" s="49" t="s">
        <v>782</v>
      </c>
      <c r="BL34">
        <v>19</v>
      </c>
      <c r="BO34" s="49" t="s">
        <v>645</v>
      </c>
      <c r="BP34">
        <v>75</v>
      </c>
      <c r="BY34" s="49" t="s">
        <v>585</v>
      </c>
      <c r="BZ34">
        <v>33</v>
      </c>
      <c r="CC34" s="49" t="s">
        <v>801</v>
      </c>
      <c r="CD34">
        <v>50</v>
      </c>
      <c r="CE34" s="49" t="s">
        <v>398</v>
      </c>
      <c r="CF34">
        <v>33</v>
      </c>
      <c r="CG34" s="49" t="s">
        <v>782</v>
      </c>
      <c r="CH34">
        <v>19</v>
      </c>
      <c r="CK34" s="49" t="s">
        <v>645</v>
      </c>
      <c r="CL34">
        <v>75</v>
      </c>
      <c r="CU34" s="49" t="s">
        <v>585</v>
      </c>
      <c r="CV34">
        <v>33</v>
      </c>
      <c r="CY34" s="49" t="s">
        <v>801</v>
      </c>
      <c r="CZ34">
        <v>50</v>
      </c>
      <c r="DE34" s="49" t="s">
        <v>398</v>
      </c>
      <c r="DF34">
        <v>33</v>
      </c>
      <c r="DG34" s="49" t="s">
        <v>782</v>
      </c>
      <c r="DH34">
        <v>19</v>
      </c>
      <c r="DK34" s="49" t="s">
        <v>645</v>
      </c>
      <c r="DL34">
        <v>75</v>
      </c>
      <c r="DY34" s="49" t="s">
        <v>585</v>
      </c>
      <c r="DZ34">
        <v>33</v>
      </c>
      <c r="EC34" s="49" t="s">
        <v>801</v>
      </c>
      <c r="ED34">
        <v>50</v>
      </c>
    </row>
    <row r="35" spans="11:134" x14ac:dyDescent="0.25">
      <c r="K35" s="49" t="s">
        <v>494</v>
      </c>
      <c r="L35">
        <v>34</v>
      </c>
      <c r="Q35" s="49" t="s">
        <v>586</v>
      </c>
      <c r="R35">
        <v>34</v>
      </c>
      <c r="S35" s="49" t="s">
        <v>494</v>
      </c>
      <c r="T35">
        <v>34</v>
      </c>
      <c r="Y35" s="49" t="s">
        <v>646</v>
      </c>
      <c r="Z35">
        <v>76</v>
      </c>
      <c r="AA35" s="49" t="s">
        <v>586</v>
      </c>
      <c r="AB35">
        <v>34</v>
      </c>
      <c r="AE35" s="49" t="s">
        <v>550</v>
      </c>
      <c r="AF35">
        <v>18</v>
      </c>
      <c r="AK35" s="49" t="s">
        <v>494</v>
      </c>
      <c r="AL35">
        <v>34</v>
      </c>
      <c r="AM35" s="49" t="s">
        <v>441</v>
      </c>
      <c r="AN35">
        <v>8</v>
      </c>
      <c r="AS35" s="49" t="s">
        <v>646</v>
      </c>
      <c r="AT35">
        <v>76</v>
      </c>
      <c r="AY35" s="49" t="s">
        <v>586</v>
      </c>
      <c r="AZ35">
        <v>34</v>
      </c>
      <c r="BC35" s="49" t="s">
        <v>540</v>
      </c>
      <c r="BD35">
        <v>22</v>
      </c>
      <c r="BI35" s="49" t="s">
        <v>494</v>
      </c>
      <c r="BJ35">
        <v>34</v>
      </c>
      <c r="BK35" s="49" t="s">
        <v>783</v>
      </c>
      <c r="BL35">
        <v>28</v>
      </c>
      <c r="BO35" s="49" t="s">
        <v>646</v>
      </c>
      <c r="BP35">
        <v>76</v>
      </c>
      <c r="BY35" s="49" t="s">
        <v>586</v>
      </c>
      <c r="BZ35">
        <v>34</v>
      </c>
      <c r="CC35" s="49" t="s">
        <v>802</v>
      </c>
      <c r="CD35">
        <v>49</v>
      </c>
      <c r="CE35" s="49" t="s">
        <v>494</v>
      </c>
      <c r="CF35">
        <v>34</v>
      </c>
      <c r="CG35" s="49" t="s">
        <v>783</v>
      </c>
      <c r="CH35">
        <v>28</v>
      </c>
      <c r="CK35" s="49" t="s">
        <v>646</v>
      </c>
      <c r="CL35">
        <v>76</v>
      </c>
      <c r="CU35" s="49" t="s">
        <v>586</v>
      </c>
      <c r="CV35">
        <v>34</v>
      </c>
      <c r="CY35" s="49" t="s">
        <v>802</v>
      </c>
      <c r="CZ35">
        <v>49</v>
      </c>
      <c r="DE35" s="49" t="s">
        <v>494</v>
      </c>
      <c r="DF35">
        <v>34</v>
      </c>
      <c r="DG35" s="49" t="s">
        <v>783</v>
      </c>
      <c r="DH35">
        <v>28</v>
      </c>
      <c r="DK35" s="49" t="s">
        <v>646</v>
      </c>
      <c r="DL35">
        <v>76</v>
      </c>
      <c r="DY35" s="49" t="s">
        <v>586</v>
      </c>
      <c r="DZ35">
        <v>34</v>
      </c>
      <c r="EC35" s="49" t="s">
        <v>802</v>
      </c>
      <c r="ED35">
        <v>49</v>
      </c>
    </row>
    <row r="36" spans="11:134" x14ac:dyDescent="0.25">
      <c r="K36" s="49" t="s">
        <v>403</v>
      </c>
      <c r="L36">
        <v>35</v>
      </c>
      <c r="Q36" s="49" t="s">
        <v>587</v>
      </c>
      <c r="R36">
        <v>35</v>
      </c>
      <c r="S36" s="49" t="s">
        <v>403</v>
      </c>
      <c r="T36">
        <v>35</v>
      </c>
      <c r="Y36" s="49" t="s">
        <v>647</v>
      </c>
      <c r="Z36">
        <v>77</v>
      </c>
      <c r="AA36" s="49" t="s">
        <v>587</v>
      </c>
      <c r="AB36">
        <v>35</v>
      </c>
      <c r="AK36" s="49" t="s">
        <v>403</v>
      </c>
      <c r="AL36">
        <v>35</v>
      </c>
      <c r="AS36" s="49" t="s">
        <v>647</v>
      </c>
      <c r="AT36">
        <v>77</v>
      </c>
      <c r="AY36" s="49" t="s">
        <v>587</v>
      </c>
      <c r="AZ36">
        <v>35</v>
      </c>
      <c r="BC36" s="49" t="s">
        <v>541</v>
      </c>
      <c r="BD36">
        <v>21</v>
      </c>
      <c r="BI36" s="49" t="s">
        <v>403</v>
      </c>
      <c r="BJ36">
        <v>35</v>
      </c>
      <c r="BK36" s="49" t="s">
        <v>784</v>
      </c>
      <c r="BL36">
        <v>20</v>
      </c>
      <c r="BO36" s="49" t="s">
        <v>647</v>
      </c>
      <c r="BP36">
        <v>77</v>
      </c>
      <c r="BY36" s="49" t="s">
        <v>587</v>
      </c>
      <c r="BZ36">
        <v>35</v>
      </c>
      <c r="CC36" s="49" t="s">
        <v>539</v>
      </c>
      <c r="CD36">
        <v>30</v>
      </c>
      <c r="CE36" s="49" t="s">
        <v>403</v>
      </c>
      <c r="CF36">
        <v>35</v>
      </c>
      <c r="CG36" s="49" t="s">
        <v>784</v>
      </c>
      <c r="CH36">
        <v>20</v>
      </c>
      <c r="CK36" s="49" t="s">
        <v>647</v>
      </c>
      <c r="CL36">
        <v>77</v>
      </c>
      <c r="CU36" s="49" t="s">
        <v>587</v>
      </c>
      <c r="CV36">
        <v>35</v>
      </c>
      <c r="CY36" s="49" t="s">
        <v>539</v>
      </c>
      <c r="CZ36">
        <v>30</v>
      </c>
      <c r="DE36" s="49" t="s">
        <v>403</v>
      </c>
      <c r="DF36">
        <v>35</v>
      </c>
      <c r="DG36" s="49" t="s">
        <v>784</v>
      </c>
      <c r="DH36">
        <v>20</v>
      </c>
      <c r="DK36" s="49" t="s">
        <v>647</v>
      </c>
      <c r="DL36">
        <v>77</v>
      </c>
      <c r="DY36" s="49" t="s">
        <v>587</v>
      </c>
      <c r="DZ36">
        <v>35</v>
      </c>
      <c r="EC36" s="49" t="s">
        <v>539</v>
      </c>
      <c r="ED36">
        <v>30</v>
      </c>
    </row>
    <row r="37" spans="11:134" x14ac:dyDescent="0.25">
      <c r="K37" s="49" t="s">
        <v>410</v>
      </c>
      <c r="L37">
        <v>36</v>
      </c>
      <c r="Q37" s="49" t="s">
        <v>588</v>
      </c>
      <c r="R37">
        <v>36</v>
      </c>
      <c r="S37" s="49" t="s">
        <v>410</v>
      </c>
      <c r="T37">
        <v>36</v>
      </c>
      <c r="Y37" s="49" t="s">
        <v>648</v>
      </c>
      <c r="Z37">
        <v>78</v>
      </c>
      <c r="AA37" s="49" t="s">
        <v>588</v>
      </c>
      <c r="AB37">
        <v>36</v>
      </c>
      <c r="AK37" s="49" t="s">
        <v>410</v>
      </c>
      <c r="AL37">
        <v>36</v>
      </c>
      <c r="AS37" s="49" t="s">
        <v>648</v>
      </c>
      <c r="AT37">
        <v>78</v>
      </c>
      <c r="AY37" s="49" t="s">
        <v>588</v>
      </c>
      <c r="AZ37">
        <v>36</v>
      </c>
      <c r="BI37" s="49" t="s">
        <v>410</v>
      </c>
      <c r="BJ37">
        <v>36</v>
      </c>
      <c r="BK37" s="49" t="s">
        <v>785</v>
      </c>
      <c r="BL37">
        <v>21</v>
      </c>
      <c r="BO37" s="49" t="s">
        <v>648</v>
      </c>
      <c r="BP37">
        <v>78</v>
      </c>
      <c r="BY37" s="49" t="s">
        <v>588</v>
      </c>
      <c r="BZ37">
        <v>36</v>
      </c>
      <c r="CC37" s="49" t="s">
        <v>803</v>
      </c>
      <c r="CD37">
        <v>47</v>
      </c>
      <c r="CE37" s="49" t="s">
        <v>410</v>
      </c>
      <c r="CF37">
        <v>36</v>
      </c>
      <c r="CG37" s="49" t="s">
        <v>785</v>
      </c>
      <c r="CH37">
        <v>21</v>
      </c>
      <c r="CK37" s="49" t="s">
        <v>648</v>
      </c>
      <c r="CL37">
        <v>78</v>
      </c>
      <c r="CU37" s="49" t="s">
        <v>588</v>
      </c>
      <c r="CV37">
        <v>36</v>
      </c>
      <c r="CY37" s="49" t="s">
        <v>803</v>
      </c>
      <c r="CZ37">
        <v>47</v>
      </c>
      <c r="DE37" s="49" t="s">
        <v>410</v>
      </c>
      <c r="DF37">
        <v>36</v>
      </c>
      <c r="DG37" s="49" t="s">
        <v>785</v>
      </c>
      <c r="DH37">
        <v>21</v>
      </c>
      <c r="DK37" s="49" t="s">
        <v>648</v>
      </c>
      <c r="DL37">
        <v>78</v>
      </c>
      <c r="DY37" s="49" t="s">
        <v>588</v>
      </c>
      <c r="DZ37">
        <v>36</v>
      </c>
      <c r="EC37" s="49" t="s">
        <v>803</v>
      </c>
      <c r="ED37">
        <v>47</v>
      </c>
    </row>
    <row r="38" spans="11:134" x14ac:dyDescent="0.25">
      <c r="Q38" s="49" t="s">
        <v>589</v>
      </c>
      <c r="R38">
        <v>37</v>
      </c>
      <c r="Y38" s="49" t="s">
        <v>649</v>
      </c>
      <c r="Z38">
        <v>79</v>
      </c>
      <c r="AA38" s="49" t="s">
        <v>589</v>
      </c>
      <c r="AB38">
        <v>37</v>
      </c>
      <c r="AS38" s="49" t="s">
        <v>649</v>
      </c>
      <c r="AT38">
        <v>79</v>
      </c>
      <c r="AY38" s="49" t="s">
        <v>589</v>
      </c>
      <c r="AZ38">
        <v>37</v>
      </c>
      <c r="BK38" s="49" t="s">
        <v>786</v>
      </c>
      <c r="BL38">
        <v>22</v>
      </c>
      <c r="BO38" s="49" t="s">
        <v>649</v>
      </c>
      <c r="BP38">
        <v>79</v>
      </c>
      <c r="BY38" s="49" t="s">
        <v>589</v>
      </c>
      <c r="BZ38">
        <v>37</v>
      </c>
      <c r="CC38" s="49" t="s">
        <v>540</v>
      </c>
      <c r="CD38">
        <v>22</v>
      </c>
      <c r="CG38" s="49" t="s">
        <v>786</v>
      </c>
      <c r="CH38">
        <v>22</v>
      </c>
      <c r="CK38" s="49" t="s">
        <v>649</v>
      </c>
      <c r="CL38">
        <v>79</v>
      </c>
      <c r="CU38" s="49" t="s">
        <v>589</v>
      </c>
      <c r="CV38">
        <v>37</v>
      </c>
      <c r="CY38" s="49" t="s">
        <v>540</v>
      </c>
      <c r="CZ38">
        <v>22</v>
      </c>
      <c r="DG38" s="49" t="s">
        <v>786</v>
      </c>
      <c r="DH38">
        <v>22</v>
      </c>
      <c r="DK38" s="49" t="s">
        <v>649</v>
      </c>
      <c r="DL38">
        <v>79</v>
      </c>
      <c r="DY38" s="49" t="s">
        <v>589</v>
      </c>
      <c r="DZ38">
        <v>37</v>
      </c>
      <c r="EC38" s="49" t="s">
        <v>540</v>
      </c>
      <c r="ED38">
        <v>22</v>
      </c>
    </row>
    <row r="39" spans="11:134" x14ac:dyDescent="0.25">
      <c r="Q39" s="49" t="s">
        <v>590</v>
      </c>
      <c r="R39">
        <v>38</v>
      </c>
      <c r="Y39" s="49" t="s">
        <v>650</v>
      </c>
      <c r="Z39">
        <v>80</v>
      </c>
      <c r="AA39" s="49" t="s">
        <v>590</v>
      </c>
      <c r="AB39">
        <v>38</v>
      </c>
      <c r="AS39" s="49" t="s">
        <v>650</v>
      </c>
      <c r="AT39">
        <v>80</v>
      </c>
      <c r="AY39" s="49" t="s">
        <v>590</v>
      </c>
      <c r="AZ39">
        <v>38</v>
      </c>
      <c r="BK39" s="49" t="s">
        <v>787</v>
      </c>
      <c r="BL39">
        <v>23</v>
      </c>
      <c r="BO39" s="49" t="s">
        <v>650</v>
      </c>
      <c r="BP39">
        <v>80</v>
      </c>
      <c r="BY39" s="49" t="s">
        <v>590</v>
      </c>
      <c r="BZ39">
        <v>38</v>
      </c>
      <c r="CC39" s="49" t="s">
        <v>541</v>
      </c>
      <c r="CD39">
        <v>21</v>
      </c>
      <c r="CG39" s="49" t="s">
        <v>787</v>
      </c>
      <c r="CH39">
        <v>23</v>
      </c>
      <c r="CK39" s="49" t="s">
        <v>650</v>
      </c>
      <c r="CL39">
        <v>80</v>
      </c>
      <c r="CU39" s="49" t="s">
        <v>590</v>
      </c>
      <c r="CV39">
        <v>38</v>
      </c>
      <c r="CY39" s="49" t="s">
        <v>541</v>
      </c>
      <c r="CZ39">
        <v>21</v>
      </c>
      <c r="DG39" s="49" t="s">
        <v>787</v>
      </c>
      <c r="DH39">
        <v>23</v>
      </c>
      <c r="DK39" s="49" t="s">
        <v>650</v>
      </c>
      <c r="DL39">
        <v>80</v>
      </c>
      <c r="DY39" s="49" t="s">
        <v>590</v>
      </c>
      <c r="DZ39">
        <v>38</v>
      </c>
      <c r="EC39" s="49" t="s">
        <v>541</v>
      </c>
      <c r="ED39">
        <v>21</v>
      </c>
    </row>
    <row r="40" spans="11:134" x14ac:dyDescent="0.25">
      <c r="Q40" s="49" t="s">
        <v>591</v>
      </c>
      <c r="R40">
        <v>39</v>
      </c>
      <c r="Y40" s="49" t="s">
        <v>651</v>
      </c>
      <c r="Z40">
        <v>81</v>
      </c>
      <c r="AA40" s="49" t="s">
        <v>591</v>
      </c>
      <c r="AB40">
        <v>39</v>
      </c>
      <c r="AS40" s="49" t="s">
        <v>651</v>
      </c>
      <c r="AT40">
        <v>81</v>
      </c>
      <c r="AY40" s="49" t="s">
        <v>591</v>
      </c>
      <c r="AZ40">
        <v>39</v>
      </c>
      <c r="BK40" s="49" t="s">
        <v>788</v>
      </c>
      <c r="BL40">
        <v>27</v>
      </c>
      <c r="BO40" s="49" t="s">
        <v>651</v>
      </c>
      <c r="BP40">
        <v>81</v>
      </c>
      <c r="BY40" s="49" t="s">
        <v>591</v>
      </c>
      <c r="BZ40">
        <v>39</v>
      </c>
      <c r="CC40" s="49" t="s">
        <v>545</v>
      </c>
      <c r="CD40">
        <v>4</v>
      </c>
      <c r="CG40" s="49" t="s">
        <v>788</v>
      </c>
      <c r="CH40">
        <v>27</v>
      </c>
      <c r="CK40" s="49" t="s">
        <v>651</v>
      </c>
      <c r="CL40">
        <v>81</v>
      </c>
      <c r="CU40" s="49" t="s">
        <v>591</v>
      </c>
      <c r="CV40">
        <v>39</v>
      </c>
      <c r="CY40" s="49" t="s">
        <v>545</v>
      </c>
      <c r="CZ40">
        <v>4</v>
      </c>
      <c r="DG40" s="49" t="s">
        <v>788</v>
      </c>
      <c r="DH40">
        <v>27</v>
      </c>
      <c r="DK40" s="49" t="s">
        <v>651</v>
      </c>
      <c r="DL40">
        <v>81</v>
      </c>
      <c r="DY40" s="49" t="s">
        <v>591</v>
      </c>
      <c r="DZ40">
        <v>39</v>
      </c>
      <c r="EC40" s="49" t="s">
        <v>545</v>
      </c>
      <c r="ED40">
        <v>4</v>
      </c>
    </row>
    <row r="41" spans="11:134" x14ac:dyDescent="0.25">
      <c r="Q41" s="49" t="s">
        <v>592</v>
      </c>
      <c r="R41">
        <v>40</v>
      </c>
      <c r="Y41" s="49" t="s">
        <v>652</v>
      </c>
      <c r="Z41">
        <v>82</v>
      </c>
      <c r="AA41" s="49" t="s">
        <v>592</v>
      </c>
      <c r="AB41">
        <v>40</v>
      </c>
      <c r="AS41" s="49" t="s">
        <v>652</v>
      </c>
      <c r="AT41">
        <v>82</v>
      </c>
      <c r="AY41" s="49" t="s">
        <v>592</v>
      </c>
      <c r="AZ41">
        <v>40</v>
      </c>
      <c r="BK41" s="49" t="s">
        <v>789</v>
      </c>
      <c r="BL41">
        <v>24</v>
      </c>
      <c r="BO41" s="49" t="s">
        <v>652</v>
      </c>
      <c r="BP41">
        <v>82</v>
      </c>
      <c r="BY41" s="49" t="s">
        <v>592</v>
      </c>
      <c r="BZ41">
        <v>40</v>
      </c>
      <c r="CC41" s="49" t="s">
        <v>546</v>
      </c>
      <c r="CD41">
        <v>5</v>
      </c>
      <c r="CG41" s="49" t="s">
        <v>789</v>
      </c>
      <c r="CH41">
        <v>24</v>
      </c>
      <c r="CK41" s="49" t="s">
        <v>652</v>
      </c>
      <c r="CL41">
        <v>82</v>
      </c>
      <c r="CU41" s="49" t="s">
        <v>592</v>
      </c>
      <c r="CV41">
        <v>40</v>
      </c>
      <c r="CY41" s="49" t="s">
        <v>546</v>
      </c>
      <c r="CZ41">
        <v>5</v>
      </c>
      <c r="DG41" s="49" t="s">
        <v>789</v>
      </c>
      <c r="DH41">
        <v>24</v>
      </c>
      <c r="DK41" s="49" t="s">
        <v>652</v>
      </c>
      <c r="DL41">
        <v>82</v>
      </c>
      <c r="DY41" s="49" t="s">
        <v>592</v>
      </c>
      <c r="DZ41">
        <v>40</v>
      </c>
      <c r="EC41" s="49" t="s">
        <v>546</v>
      </c>
      <c r="ED41">
        <v>5</v>
      </c>
    </row>
    <row r="42" spans="11:134" x14ac:dyDescent="0.25">
      <c r="Q42" s="49" t="s">
        <v>593</v>
      </c>
      <c r="R42">
        <v>41</v>
      </c>
      <c r="Y42" s="49" t="s">
        <v>653</v>
      </c>
      <c r="Z42">
        <v>83</v>
      </c>
      <c r="AA42" s="49" t="s">
        <v>593</v>
      </c>
      <c r="AB42">
        <v>41</v>
      </c>
      <c r="AS42" s="49" t="s">
        <v>653</v>
      </c>
      <c r="AT42">
        <v>83</v>
      </c>
      <c r="AY42" s="49" t="s">
        <v>593</v>
      </c>
      <c r="AZ42">
        <v>41</v>
      </c>
      <c r="BK42" s="49" t="s">
        <v>790</v>
      </c>
      <c r="BL42">
        <v>25</v>
      </c>
      <c r="BO42" s="49" t="s">
        <v>653</v>
      </c>
      <c r="BP42">
        <v>83</v>
      </c>
      <c r="BY42" s="49" t="s">
        <v>593</v>
      </c>
      <c r="BZ42">
        <v>41</v>
      </c>
      <c r="CC42" s="49" t="s">
        <v>547</v>
      </c>
      <c r="CD42">
        <v>12</v>
      </c>
      <c r="CG42" s="49" t="s">
        <v>790</v>
      </c>
      <c r="CH42">
        <v>25</v>
      </c>
      <c r="CK42" s="49" t="s">
        <v>653</v>
      </c>
      <c r="CL42">
        <v>83</v>
      </c>
      <c r="CU42" s="49" t="s">
        <v>593</v>
      </c>
      <c r="CV42">
        <v>41</v>
      </c>
      <c r="CY42" s="49" t="s">
        <v>547</v>
      </c>
      <c r="CZ42">
        <v>12</v>
      </c>
      <c r="DG42" s="49" t="s">
        <v>790</v>
      </c>
      <c r="DH42">
        <v>25</v>
      </c>
      <c r="DK42" s="49" t="s">
        <v>653</v>
      </c>
      <c r="DL42">
        <v>83</v>
      </c>
      <c r="DY42" s="49" t="s">
        <v>593</v>
      </c>
      <c r="DZ42">
        <v>41</v>
      </c>
      <c r="EC42" s="49" t="s">
        <v>547</v>
      </c>
      <c r="ED42">
        <v>12</v>
      </c>
    </row>
    <row r="43" spans="11:134" x14ac:dyDescent="0.25">
      <c r="Q43" s="49" t="s">
        <v>594</v>
      </c>
      <c r="R43">
        <v>42</v>
      </c>
      <c r="Y43" s="49" t="s">
        <v>654</v>
      </c>
      <c r="Z43">
        <v>84</v>
      </c>
      <c r="AA43" s="49" t="s">
        <v>594</v>
      </c>
      <c r="AB43">
        <v>42</v>
      </c>
      <c r="AS43" s="49" t="s">
        <v>654</v>
      </c>
      <c r="AT43">
        <v>84</v>
      </c>
      <c r="AY43" s="49" t="s">
        <v>594</v>
      </c>
      <c r="AZ43">
        <v>42</v>
      </c>
      <c r="BK43" s="49" t="s">
        <v>421</v>
      </c>
      <c r="BL43">
        <v>29</v>
      </c>
      <c r="BO43" s="49" t="s">
        <v>654</v>
      </c>
      <c r="BP43">
        <v>84</v>
      </c>
      <c r="BY43" s="49" t="s">
        <v>594</v>
      </c>
      <c r="BZ43">
        <v>42</v>
      </c>
      <c r="CC43" s="49" t="s">
        <v>548</v>
      </c>
      <c r="CD43">
        <v>13</v>
      </c>
      <c r="CG43" s="49" t="s">
        <v>421</v>
      </c>
      <c r="CH43">
        <v>29</v>
      </c>
      <c r="CK43" s="49" t="s">
        <v>654</v>
      </c>
      <c r="CL43">
        <v>84</v>
      </c>
      <c r="CU43" s="49" t="s">
        <v>594</v>
      </c>
      <c r="CV43">
        <v>42</v>
      </c>
      <c r="CY43" s="49" t="s">
        <v>548</v>
      </c>
      <c r="CZ43">
        <v>13</v>
      </c>
      <c r="DG43" s="49" t="s">
        <v>421</v>
      </c>
      <c r="DH43">
        <v>29</v>
      </c>
      <c r="DK43" s="49" t="s">
        <v>654</v>
      </c>
      <c r="DL43">
        <v>84</v>
      </c>
      <c r="DY43" s="49" t="s">
        <v>594</v>
      </c>
      <c r="DZ43">
        <v>42</v>
      </c>
      <c r="EC43" s="49" t="s">
        <v>548</v>
      </c>
      <c r="ED43">
        <v>13</v>
      </c>
    </row>
    <row r="44" spans="11:134" x14ac:dyDescent="0.25">
      <c r="Q44" s="49" t="s">
        <v>595</v>
      </c>
      <c r="R44">
        <v>43</v>
      </c>
      <c r="Y44" s="49" t="s">
        <v>655</v>
      </c>
      <c r="Z44">
        <v>85</v>
      </c>
      <c r="AA44" s="49" t="s">
        <v>595</v>
      </c>
      <c r="AB44">
        <v>43</v>
      </c>
      <c r="AS44" s="49" t="s">
        <v>655</v>
      </c>
      <c r="AT44">
        <v>85</v>
      </c>
      <c r="AY44" s="49" t="s">
        <v>595</v>
      </c>
      <c r="AZ44">
        <v>43</v>
      </c>
      <c r="BK44" s="49" t="s">
        <v>791</v>
      </c>
      <c r="BL44">
        <v>26</v>
      </c>
      <c r="BO44" s="49" t="s">
        <v>655</v>
      </c>
      <c r="BP44">
        <v>85</v>
      </c>
      <c r="BY44" s="49" t="s">
        <v>595</v>
      </c>
      <c r="BZ44">
        <v>43</v>
      </c>
      <c r="CC44" s="49" t="s">
        <v>549</v>
      </c>
      <c r="CD44">
        <v>2</v>
      </c>
      <c r="CG44" s="49" t="s">
        <v>791</v>
      </c>
      <c r="CH44">
        <v>26</v>
      </c>
      <c r="CK44" s="49" t="s">
        <v>655</v>
      </c>
      <c r="CL44">
        <v>85</v>
      </c>
      <c r="CU44" s="49" t="s">
        <v>595</v>
      </c>
      <c r="CV44">
        <v>43</v>
      </c>
      <c r="CY44" s="49" t="s">
        <v>549</v>
      </c>
      <c r="CZ44">
        <v>2</v>
      </c>
      <c r="DG44" s="49" t="s">
        <v>791</v>
      </c>
      <c r="DH44">
        <v>26</v>
      </c>
      <c r="DK44" s="49" t="s">
        <v>655</v>
      </c>
      <c r="DL44">
        <v>85</v>
      </c>
      <c r="DY44" s="49" t="s">
        <v>595</v>
      </c>
      <c r="DZ44">
        <v>43</v>
      </c>
      <c r="EC44" s="49" t="s">
        <v>549</v>
      </c>
      <c r="ED44">
        <v>2</v>
      </c>
    </row>
    <row r="45" spans="11:134" x14ac:dyDescent="0.25">
      <c r="Q45" s="49" t="s">
        <v>596</v>
      </c>
      <c r="R45">
        <v>44</v>
      </c>
      <c r="Y45" s="49" t="s">
        <v>656</v>
      </c>
      <c r="Z45">
        <v>86</v>
      </c>
      <c r="AA45" s="49" t="s">
        <v>596</v>
      </c>
      <c r="AB45">
        <v>44</v>
      </c>
      <c r="AS45" s="49" t="s">
        <v>656</v>
      </c>
      <c r="AT45">
        <v>86</v>
      </c>
      <c r="AY45" s="49" t="s">
        <v>596</v>
      </c>
      <c r="AZ45">
        <v>44</v>
      </c>
      <c r="BO45" s="49" t="s">
        <v>656</v>
      </c>
      <c r="BP45">
        <v>86</v>
      </c>
      <c r="BY45" s="49" t="s">
        <v>596</v>
      </c>
      <c r="BZ45">
        <v>44</v>
      </c>
      <c r="CC45" s="49" t="s">
        <v>550</v>
      </c>
      <c r="CD45">
        <v>18</v>
      </c>
      <c r="CK45" s="49" t="s">
        <v>656</v>
      </c>
      <c r="CL45">
        <v>86</v>
      </c>
      <c r="CU45" s="49" t="s">
        <v>596</v>
      </c>
      <c r="CV45">
        <v>44</v>
      </c>
      <c r="CY45" s="49" t="s">
        <v>550</v>
      </c>
      <c r="CZ45">
        <v>18</v>
      </c>
      <c r="DK45" s="49" t="s">
        <v>656</v>
      </c>
      <c r="DL45">
        <v>86</v>
      </c>
      <c r="DY45" s="49" t="s">
        <v>596</v>
      </c>
      <c r="DZ45">
        <v>44</v>
      </c>
      <c r="EC45" s="49" t="s">
        <v>550</v>
      </c>
      <c r="ED45">
        <v>18</v>
      </c>
    </row>
    <row r="46" spans="11:134" x14ac:dyDescent="0.25">
      <c r="Q46" s="49" t="s">
        <v>597</v>
      </c>
      <c r="R46">
        <v>45</v>
      </c>
      <c r="Y46" s="49" t="s">
        <v>657</v>
      </c>
      <c r="Z46">
        <v>87</v>
      </c>
      <c r="AA46" s="49" t="s">
        <v>597</v>
      </c>
      <c r="AB46">
        <v>45</v>
      </c>
      <c r="AS46" s="49" t="s">
        <v>657</v>
      </c>
      <c r="AT46">
        <v>87</v>
      </c>
      <c r="AY46" s="49" t="s">
        <v>597</v>
      </c>
      <c r="AZ46">
        <v>45</v>
      </c>
      <c r="BO46" s="49" t="s">
        <v>657</v>
      </c>
      <c r="BP46">
        <v>87</v>
      </c>
      <c r="BY46" s="49" t="s">
        <v>597</v>
      </c>
      <c r="BZ46">
        <v>45</v>
      </c>
      <c r="CK46" s="49" t="s">
        <v>657</v>
      </c>
      <c r="CL46">
        <v>87</v>
      </c>
      <c r="CU46" s="49" t="s">
        <v>597</v>
      </c>
      <c r="CV46">
        <v>45</v>
      </c>
      <c r="DK46" s="49" t="s">
        <v>657</v>
      </c>
      <c r="DL46">
        <v>87</v>
      </c>
      <c r="DY46" s="49" t="s">
        <v>597</v>
      </c>
      <c r="DZ46">
        <v>45</v>
      </c>
    </row>
    <row r="47" spans="11:134" x14ac:dyDescent="0.25">
      <c r="Q47" s="49" t="s">
        <v>598</v>
      </c>
      <c r="R47">
        <v>46</v>
      </c>
      <c r="Y47" s="49" t="s">
        <v>658</v>
      </c>
      <c r="Z47">
        <v>88</v>
      </c>
      <c r="AA47" s="49" t="s">
        <v>598</v>
      </c>
      <c r="AB47">
        <v>46</v>
      </c>
      <c r="AS47" s="49" t="s">
        <v>658</v>
      </c>
      <c r="AT47">
        <v>88</v>
      </c>
      <c r="AY47" s="49" t="s">
        <v>598</v>
      </c>
      <c r="AZ47">
        <v>46</v>
      </c>
      <c r="BO47" s="49" t="s">
        <v>658</v>
      </c>
      <c r="BP47">
        <v>88</v>
      </c>
      <c r="BY47" s="49" t="s">
        <v>598</v>
      </c>
      <c r="BZ47">
        <v>46</v>
      </c>
      <c r="CK47" s="49" t="s">
        <v>658</v>
      </c>
      <c r="CL47">
        <v>88</v>
      </c>
      <c r="CU47" s="49" t="s">
        <v>598</v>
      </c>
      <c r="CV47">
        <v>46</v>
      </c>
      <c r="DK47" s="49" t="s">
        <v>658</v>
      </c>
      <c r="DL47">
        <v>88</v>
      </c>
      <c r="DY47" s="49" t="s">
        <v>598</v>
      </c>
      <c r="DZ47">
        <v>46</v>
      </c>
    </row>
    <row r="48" spans="11:134" x14ac:dyDescent="0.25">
      <c r="Q48" s="49" t="s">
        <v>599</v>
      </c>
      <c r="R48">
        <v>47</v>
      </c>
      <c r="Y48" s="49" t="s">
        <v>659</v>
      </c>
      <c r="Z48">
        <v>89</v>
      </c>
      <c r="AA48" s="49" t="s">
        <v>599</v>
      </c>
      <c r="AB48">
        <v>47</v>
      </c>
      <c r="AS48" s="49" t="s">
        <v>659</v>
      </c>
      <c r="AT48">
        <v>89</v>
      </c>
      <c r="AY48" s="49" t="s">
        <v>599</v>
      </c>
      <c r="AZ48">
        <v>47</v>
      </c>
      <c r="BO48" s="49" t="s">
        <v>659</v>
      </c>
      <c r="BP48">
        <v>89</v>
      </c>
      <c r="BY48" s="49" t="s">
        <v>599</v>
      </c>
      <c r="BZ48">
        <v>47</v>
      </c>
      <c r="CK48" s="49" t="s">
        <v>659</v>
      </c>
      <c r="CL48">
        <v>89</v>
      </c>
      <c r="CU48" s="49" t="s">
        <v>599</v>
      </c>
      <c r="CV48">
        <v>47</v>
      </c>
      <c r="DK48" s="49" t="s">
        <v>659</v>
      </c>
      <c r="DL48">
        <v>89</v>
      </c>
      <c r="DY48" s="49" t="s">
        <v>599</v>
      </c>
      <c r="DZ48">
        <v>47</v>
      </c>
    </row>
    <row r="49" spans="17:130" x14ac:dyDescent="0.25">
      <c r="Q49" s="49" t="s">
        <v>600</v>
      </c>
      <c r="R49">
        <v>48</v>
      </c>
      <c r="Y49" s="49" t="s">
        <v>660</v>
      </c>
      <c r="Z49">
        <v>90</v>
      </c>
      <c r="AA49" s="49" t="s">
        <v>600</v>
      </c>
      <c r="AB49">
        <v>48</v>
      </c>
      <c r="AS49" s="49" t="s">
        <v>660</v>
      </c>
      <c r="AT49">
        <v>90</v>
      </c>
      <c r="AY49" s="49" t="s">
        <v>600</v>
      </c>
      <c r="AZ49">
        <v>48</v>
      </c>
      <c r="BO49" s="49" t="s">
        <v>660</v>
      </c>
      <c r="BP49">
        <v>90</v>
      </c>
      <c r="BY49" s="49" t="s">
        <v>600</v>
      </c>
      <c r="BZ49">
        <v>48</v>
      </c>
      <c r="CK49" s="49" t="s">
        <v>660</v>
      </c>
      <c r="CL49">
        <v>90</v>
      </c>
      <c r="CU49" s="49" t="s">
        <v>600</v>
      </c>
      <c r="CV49">
        <v>48</v>
      </c>
      <c r="DK49" s="49" t="s">
        <v>660</v>
      </c>
      <c r="DL49">
        <v>90</v>
      </c>
      <c r="DY49" s="49" t="s">
        <v>600</v>
      </c>
      <c r="DZ49">
        <v>48</v>
      </c>
    </row>
    <row r="50" spans="17:130" x14ac:dyDescent="0.25">
      <c r="Q50" s="49" t="s">
        <v>601</v>
      </c>
      <c r="R50">
        <v>49</v>
      </c>
      <c r="Y50" s="49" t="s">
        <v>661</v>
      </c>
      <c r="Z50">
        <v>91</v>
      </c>
      <c r="AA50" s="49" t="s">
        <v>601</v>
      </c>
      <c r="AB50">
        <v>49</v>
      </c>
      <c r="AS50" s="49" t="s">
        <v>661</v>
      </c>
      <c r="AT50">
        <v>91</v>
      </c>
      <c r="AY50" s="49" t="s">
        <v>601</v>
      </c>
      <c r="AZ50">
        <v>49</v>
      </c>
      <c r="BO50" s="49" t="s">
        <v>661</v>
      </c>
      <c r="BP50">
        <v>91</v>
      </c>
      <c r="BY50" s="49" t="s">
        <v>601</v>
      </c>
      <c r="BZ50">
        <v>49</v>
      </c>
      <c r="CK50" s="49" t="s">
        <v>661</v>
      </c>
      <c r="CL50">
        <v>91</v>
      </c>
      <c r="CU50" s="49" t="s">
        <v>601</v>
      </c>
      <c r="CV50">
        <v>49</v>
      </c>
      <c r="DK50" s="49" t="s">
        <v>661</v>
      </c>
      <c r="DL50">
        <v>91</v>
      </c>
      <c r="DY50" s="49" t="s">
        <v>601</v>
      </c>
      <c r="DZ50">
        <v>49</v>
      </c>
    </row>
    <row r="51" spans="17:130" x14ac:dyDescent="0.25">
      <c r="Q51" s="49" t="s">
        <v>602</v>
      </c>
      <c r="R51">
        <v>50</v>
      </c>
      <c r="Y51" s="49" t="s">
        <v>662</v>
      </c>
      <c r="Z51">
        <v>92</v>
      </c>
      <c r="AA51" s="49" t="s">
        <v>602</v>
      </c>
      <c r="AB51">
        <v>50</v>
      </c>
      <c r="AS51" s="49" t="s">
        <v>662</v>
      </c>
      <c r="AT51">
        <v>92</v>
      </c>
      <c r="AY51" s="49" t="s">
        <v>602</v>
      </c>
      <c r="AZ51">
        <v>50</v>
      </c>
      <c r="BO51" s="49" t="s">
        <v>662</v>
      </c>
      <c r="BP51">
        <v>92</v>
      </c>
      <c r="BY51" s="49" t="s">
        <v>602</v>
      </c>
      <c r="BZ51">
        <v>50</v>
      </c>
      <c r="CK51" s="49" t="s">
        <v>662</v>
      </c>
      <c r="CL51">
        <v>92</v>
      </c>
      <c r="CU51" s="49" t="s">
        <v>602</v>
      </c>
      <c r="CV51">
        <v>50</v>
      </c>
      <c r="DK51" s="49" t="s">
        <v>662</v>
      </c>
      <c r="DL51">
        <v>92</v>
      </c>
      <c r="DY51" s="49" t="s">
        <v>602</v>
      </c>
      <c r="DZ51">
        <v>50</v>
      </c>
    </row>
    <row r="52" spans="17:130" x14ac:dyDescent="0.25">
      <c r="Q52" s="49" t="s">
        <v>603</v>
      </c>
      <c r="R52">
        <v>51</v>
      </c>
      <c r="Y52" s="49" t="s">
        <v>663</v>
      </c>
      <c r="Z52">
        <v>93</v>
      </c>
      <c r="AA52" s="49" t="s">
        <v>603</v>
      </c>
      <c r="AB52">
        <v>51</v>
      </c>
      <c r="AS52" s="49" t="s">
        <v>663</v>
      </c>
      <c r="AT52">
        <v>93</v>
      </c>
      <c r="AY52" s="49" t="s">
        <v>603</v>
      </c>
      <c r="AZ52">
        <v>51</v>
      </c>
      <c r="BO52" s="49" t="s">
        <v>663</v>
      </c>
      <c r="BP52">
        <v>93</v>
      </c>
      <c r="BY52" s="49" t="s">
        <v>603</v>
      </c>
      <c r="BZ52">
        <v>51</v>
      </c>
      <c r="CK52" s="49" t="s">
        <v>663</v>
      </c>
      <c r="CL52">
        <v>93</v>
      </c>
      <c r="CU52" s="49" t="s">
        <v>603</v>
      </c>
      <c r="CV52">
        <v>51</v>
      </c>
      <c r="DK52" s="49" t="s">
        <v>663</v>
      </c>
      <c r="DL52">
        <v>93</v>
      </c>
      <c r="DY52" s="49" t="s">
        <v>603</v>
      </c>
      <c r="DZ52">
        <v>51</v>
      </c>
    </row>
    <row r="53" spans="17:130" x14ac:dyDescent="0.25">
      <c r="Y53" s="49" t="s">
        <v>664</v>
      </c>
      <c r="Z53">
        <v>94</v>
      </c>
      <c r="AS53" s="49" t="s">
        <v>664</v>
      </c>
      <c r="AT53">
        <v>94</v>
      </c>
      <c r="BO53" s="49" t="s">
        <v>664</v>
      </c>
      <c r="BP53">
        <v>94</v>
      </c>
      <c r="CK53" s="49" t="s">
        <v>664</v>
      </c>
      <c r="CL53">
        <v>94</v>
      </c>
      <c r="DK53" s="49" t="s">
        <v>664</v>
      </c>
      <c r="DL53">
        <v>94</v>
      </c>
    </row>
    <row r="54" spans="17:130" x14ac:dyDescent="0.25">
      <c r="Y54" s="49" t="s">
        <v>665</v>
      </c>
      <c r="Z54">
        <v>95</v>
      </c>
      <c r="AS54" s="49" t="s">
        <v>665</v>
      </c>
      <c r="AT54">
        <v>95</v>
      </c>
      <c r="BO54" s="49" t="s">
        <v>665</v>
      </c>
      <c r="BP54">
        <v>95</v>
      </c>
      <c r="CK54" s="49" t="s">
        <v>665</v>
      </c>
      <c r="CL54">
        <v>95</v>
      </c>
      <c r="DK54" s="49" t="s">
        <v>665</v>
      </c>
      <c r="DL54">
        <v>95</v>
      </c>
    </row>
    <row r="55" spans="17:130" x14ac:dyDescent="0.25">
      <c r="Y55" s="49" t="s">
        <v>666</v>
      </c>
      <c r="Z55">
        <v>96</v>
      </c>
      <c r="AS55" s="49" t="s">
        <v>666</v>
      </c>
      <c r="AT55">
        <v>96</v>
      </c>
      <c r="BO55" s="49" t="s">
        <v>666</v>
      </c>
      <c r="BP55">
        <v>96</v>
      </c>
      <c r="CK55" s="49" t="s">
        <v>666</v>
      </c>
      <c r="CL55">
        <v>96</v>
      </c>
      <c r="DK55" s="49" t="s">
        <v>666</v>
      </c>
      <c r="DL55">
        <v>96</v>
      </c>
    </row>
    <row r="56" spans="17:130" x14ac:dyDescent="0.25">
      <c r="Y56" s="49" t="s">
        <v>667</v>
      </c>
      <c r="Z56">
        <v>97</v>
      </c>
      <c r="AS56" s="49" t="s">
        <v>667</v>
      </c>
      <c r="AT56">
        <v>97</v>
      </c>
      <c r="BO56" s="49" t="s">
        <v>667</v>
      </c>
      <c r="BP56">
        <v>97</v>
      </c>
      <c r="CK56" s="49" t="s">
        <v>667</v>
      </c>
      <c r="CL56">
        <v>97</v>
      </c>
      <c r="DK56" s="49" t="s">
        <v>667</v>
      </c>
      <c r="DL56">
        <v>97</v>
      </c>
    </row>
    <row r="57" spans="17:130" x14ac:dyDescent="0.25">
      <c r="Y57" s="49" t="s">
        <v>668</v>
      </c>
      <c r="Z57">
        <v>98</v>
      </c>
      <c r="AS57" s="49" t="s">
        <v>668</v>
      </c>
      <c r="AT57">
        <v>98</v>
      </c>
      <c r="BO57" s="49" t="s">
        <v>668</v>
      </c>
      <c r="BP57">
        <v>98</v>
      </c>
      <c r="CK57" s="49" t="s">
        <v>668</v>
      </c>
      <c r="CL57">
        <v>98</v>
      </c>
      <c r="DK57" s="49" t="s">
        <v>668</v>
      </c>
      <c r="DL57">
        <v>98</v>
      </c>
    </row>
    <row r="58" spans="17:130" x14ac:dyDescent="0.25">
      <c r="Y58" s="49" t="s">
        <v>669</v>
      </c>
      <c r="Z58">
        <v>99</v>
      </c>
      <c r="AS58" s="49" t="s">
        <v>669</v>
      </c>
      <c r="AT58">
        <v>99</v>
      </c>
      <c r="BO58" s="49" t="s">
        <v>669</v>
      </c>
      <c r="BP58">
        <v>99</v>
      </c>
      <c r="CK58" s="49" t="s">
        <v>669</v>
      </c>
      <c r="CL58">
        <v>99</v>
      </c>
      <c r="DK58" s="49" t="s">
        <v>669</v>
      </c>
      <c r="DL58">
        <v>99</v>
      </c>
    </row>
    <row r="59" spans="17:130" x14ac:dyDescent="0.25">
      <c r="Y59" s="49" t="s">
        <v>670</v>
      </c>
      <c r="Z59">
        <v>100</v>
      </c>
      <c r="AS59" s="49" t="s">
        <v>670</v>
      </c>
      <c r="AT59">
        <v>100</v>
      </c>
      <c r="BO59" s="49" t="s">
        <v>670</v>
      </c>
      <c r="BP59">
        <v>100</v>
      </c>
      <c r="CK59" s="49" t="s">
        <v>670</v>
      </c>
      <c r="CL59">
        <v>100</v>
      </c>
      <c r="DK59" s="49" t="s">
        <v>670</v>
      </c>
      <c r="DL59">
        <v>100</v>
      </c>
    </row>
    <row r="60" spans="17:130" x14ac:dyDescent="0.25">
      <c r="Y60" s="49" t="s">
        <v>671</v>
      </c>
      <c r="Z60">
        <v>101</v>
      </c>
      <c r="AS60" s="49" t="s">
        <v>671</v>
      </c>
      <c r="AT60">
        <v>101</v>
      </c>
      <c r="BO60" s="49" t="s">
        <v>671</v>
      </c>
      <c r="BP60">
        <v>101</v>
      </c>
      <c r="CK60" s="49" t="s">
        <v>671</v>
      </c>
      <c r="CL60">
        <v>101</v>
      </c>
      <c r="DK60" s="49" t="s">
        <v>671</v>
      </c>
      <c r="DL60">
        <v>101</v>
      </c>
    </row>
    <row r="61" spans="17:130" x14ac:dyDescent="0.25">
      <c r="Y61" s="49" t="s">
        <v>672</v>
      </c>
      <c r="Z61">
        <v>102</v>
      </c>
      <c r="AS61" s="49" t="s">
        <v>672</v>
      </c>
      <c r="AT61">
        <v>102</v>
      </c>
      <c r="BO61" s="49" t="s">
        <v>672</v>
      </c>
      <c r="BP61">
        <v>102</v>
      </c>
      <c r="CK61" s="49" t="s">
        <v>672</v>
      </c>
      <c r="CL61">
        <v>102</v>
      </c>
      <c r="DK61" s="49" t="s">
        <v>672</v>
      </c>
      <c r="DL61">
        <v>102</v>
      </c>
    </row>
    <row r="62" spans="17:130" x14ac:dyDescent="0.25">
      <c r="Y62" s="49" t="s">
        <v>673</v>
      </c>
      <c r="Z62">
        <v>103</v>
      </c>
      <c r="AS62" s="49" t="s">
        <v>673</v>
      </c>
      <c r="AT62">
        <v>103</v>
      </c>
      <c r="BO62" s="49" t="s">
        <v>673</v>
      </c>
      <c r="BP62">
        <v>103</v>
      </c>
      <c r="CK62" s="49" t="s">
        <v>673</v>
      </c>
      <c r="CL62">
        <v>103</v>
      </c>
      <c r="DK62" s="49" t="s">
        <v>673</v>
      </c>
      <c r="DL62">
        <v>103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5">
    <tabColor theme="2"/>
  </sheetPr>
  <dimension ref="A1:Q243"/>
  <sheetViews>
    <sheetView topLeftCell="D30" workbookViewId="0">
      <selection activeCell="P62" sqref="P62"/>
    </sheetView>
  </sheetViews>
  <sheetFormatPr defaultRowHeight="15" x14ac:dyDescent="0.25"/>
  <cols>
    <col min="1" max="1" width="16.85546875" bestFit="1" customWidth="1"/>
    <col min="2" max="2" width="14" bestFit="1" customWidth="1"/>
    <col min="14" max="14" width="20.7109375" bestFit="1" customWidth="1"/>
    <col min="15" max="15" width="19.42578125" bestFit="1" customWidth="1"/>
    <col min="16" max="16" width="24.140625" bestFit="1" customWidth="1"/>
  </cols>
  <sheetData>
    <row r="1" spans="1:17" x14ac:dyDescent="0.25">
      <c r="A1" s="33" t="s">
        <v>26</v>
      </c>
      <c r="B1" s="34" t="s">
        <v>129</v>
      </c>
      <c r="E1" t="s">
        <v>130</v>
      </c>
      <c r="K1" s="35" t="s">
        <v>15</v>
      </c>
      <c r="N1" t="s">
        <v>445</v>
      </c>
      <c r="O1" t="s">
        <v>446</v>
      </c>
      <c r="P1" t="s">
        <v>447</v>
      </c>
      <c r="Q1" t="s">
        <v>804</v>
      </c>
    </row>
    <row r="2" spans="1:17" ht="15.75" x14ac:dyDescent="0.25">
      <c r="A2" s="36" t="s">
        <v>131</v>
      </c>
      <c r="B2" s="37" t="s">
        <v>132</v>
      </c>
      <c r="E2" t="s">
        <v>133</v>
      </c>
      <c r="K2" s="38" t="s">
        <v>134</v>
      </c>
      <c r="N2">
        <v>1</v>
      </c>
      <c r="O2">
        <v>1</v>
      </c>
      <c r="P2" s="50" t="s">
        <v>448</v>
      </c>
      <c r="Q2" s="265" t="s">
        <v>554</v>
      </c>
    </row>
    <row r="3" spans="1:17" ht="15.75" x14ac:dyDescent="0.25">
      <c r="A3" s="39" t="s">
        <v>135</v>
      </c>
      <c r="B3" s="37" t="s">
        <v>132</v>
      </c>
      <c r="E3" t="s">
        <v>136</v>
      </c>
      <c r="K3" s="38" t="s">
        <v>137</v>
      </c>
      <c r="N3">
        <v>2</v>
      </c>
      <c r="O3">
        <v>2</v>
      </c>
      <c r="P3" s="50" t="s">
        <v>449</v>
      </c>
      <c r="Q3" s="265" t="s">
        <v>553</v>
      </c>
    </row>
    <row r="4" spans="1:17" ht="15.75" x14ac:dyDescent="0.25">
      <c r="A4" s="39" t="s">
        <v>138</v>
      </c>
      <c r="B4" s="37" t="s">
        <v>132</v>
      </c>
      <c r="K4" s="38" t="s">
        <v>139</v>
      </c>
      <c r="N4">
        <v>3</v>
      </c>
      <c r="O4">
        <v>3</v>
      </c>
      <c r="P4" s="50" t="s">
        <v>450</v>
      </c>
      <c r="Q4" s="265" t="s">
        <v>556</v>
      </c>
    </row>
    <row r="5" spans="1:17" ht="15.75" x14ac:dyDescent="0.25">
      <c r="A5" s="39" t="s">
        <v>140</v>
      </c>
      <c r="B5" s="37" t="s">
        <v>141</v>
      </c>
      <c r="K5" s="38" t="s">
        <v>142</v>
      </c>
      <c r="N5">
        <v>4</v>
      </c>
      <c r="O5">
        <v>4</v>
      </c>
      <c r="P5" s="50" t="s">
        <v>451</v>
      </c>
      <c r="Q5" s="265" t="s">
        <v>555</v>
      </c>
    </row>
    <row r="6" spans="1:17" ht="15.75" x14ac:dyDescent="0.25">
      <c r="A6" s="39" t="s">
        <v>143</v>
      </c>
      <c r="B6" s="37" t="s">
        <v>132</v>
      </c>
      <c r="K6" s="38" t="s">
        <v>144</v>
      </c>
      <c r="N6">
        <v>5</v>
      </c>
      <c r="O6">
        <v>5</v>
      </c>
      <c r="P6" s="50" t="s">
        <v>452</v>
      </c>
      <c r="Q6" s="265" t="s">
        <v>557</v>
      </c>
    </row>
    <row r="7" spans="1:17" ht="15.75" x14ac:dyDescent="0.25">
      <c r="A7" s="39" t="s">
        <v>145</v>
      </c>
      <c r="B7" s="37" t="s">
        <v>132</v>
      </c>
      <c r="K7" s="38" t="s">
        <v>146</v>
      </c>
      <c r="N7">
        <v>6</v>
      </c>
      <c r="O7">
        <v>6</v>
      </c>
      <c r="Q7" s="265" t="s">
        <v>558</v>
      </c>
    </row>
    <row r="8" spans="1:17" ht="15.75" x14ac:dyDescent="0.25">
      <c r="A8" s="39" t="s">
        <v>147</v>
      </c>
      <c r="B8" s="37" t="s">
        <v>132</v>
      </c>
      <c r="K8" s="38" t="s">
        <v>148</v>
      </c>
      <c r="N8">
        <v>7</v>
      </c>
      <c r="O8">
        <v>7</v>
      </c>
      <c r="Q8" s="265" t="s">
        <v>559</v>
      </c>
    </row>
    <row r="9" spans="1:17" ht="15.75" x14ac:dyDescent="0.25">
      <c r="A9" s="39" t="s">
        <v>149</v>
      </c>
      <c r="B9" s="37" t="s">
        <v>141</v>
      </c>
      <c r="K9" s="38" t="s">
        <v>150</v>
      </c>
      <c r="N9">
        <v>8</v>
      </c>
      <c r="O9">
        <v>8</v>
      </c>
      <c r="Q9" s="265" t="s">
        <v>561</v>
      </c>
    </row>
    <row r="10" spans="1:17" ht="15.75" x14ac:dyDescent="0.25">
      <c r="A10" s="39" t="s">
        <v>151</v>
      </c>
      <c r="B10" s="37" t="s">
        <v>132</v>
      </c>
      <c r="K10" s="38" t="s">
        <v>152</v>
      </c>
      <c r="N10">
        <v>9</v>
      </c>
      <c r="O10">
        <v>9</v>
      </c>
      <c r="Q10" s="265" t="s">
        <v>562</v>
      </c>
    </row>
    <row r="11" spans="1:17" ht="15.75" x14ac:dyDescent="0.25">
      <c r="A11" s="39" t="s">
        <v>153</v>
      </c>
      <c r="B11" s="37" t="s">
        <v>132</v>
      </c>
      <c r="K11" s="38" t="s">
        <v>154</v>
      </c>
      <c r="N11">
        <v>10</v>
      </c>
      <c r="O11">
        <v>10</v>
      </c>
      <c r="Q11" s="265" t="s">
        <v>563</v>
      </c>
    </row>
    <row r="12" spans="1:17" ht="15.75" x14ac:dyDescent="0.25">
      <c r="A12" s="39" t="s">
        <v>155</v>
      </c>
      <c r="B12" s="37" t="s">
        <v>132</v>
      </c>
      <c r="K12" s="38" t="s">
        <v>156</v>
      </c>
      <c r="N12">
        <v>11</v>
      </c>
      <c r="O12">
        <v>11</v>
      </c>
      <c r="Q12" s="265" t="s">
        <v>564</v>
      </c>
    </row>
    <row r="13" spans="1:17" ht="15.75" x14ac:dyDescent="0.25">
      <c r="A13" s="39" t="s">
        <v>157</v>
      </c>
      <c r="B13" s="37" t="s">
        <v>132</v>
      </c>
      <c r="K13" s="38" t="s">
        <v>158</v>
      </c>
      <c r="N13">
        <v>12</v>
      </c>
      <c r="O13">
        <v>12</v>
      </c>
      <c r="Q13" s="265" t="s">
        <v>566</v>
      </c>
    </row>
    <row r="14" spans="1:17" ht="15.75" x14ac:dyDescent="0.25">
      <c r="A14" s="39" t="s">
        <v>159</v>
      </c>
      <c r="B14" s="37" t="s">
        <v>132</v>
      </c>
      <c r="K14" s="38" t="s">
        <v>160</v>
      </c>
      <c r="N14">
        <v>13</v>
      </c>
      <c r="O14">
        <v>13</v>
      </c>
      <c r="Q14" s="265" t="s">
        <v>567</v>
      </c>
    </row>
    <row r="15" spans="1:17" ht="15.75" x14ac:dyDescent="0.25">
      <c r="A15" s="39" t="s">
        <v>161</v>
      </c>
      <c r="B15" s="37" t="s">
        <v>132</v>
      </c>
      <c r="K15" s="38" t="s">
        <v>162</v>
      </c>
      <c r="N15">
        <v>14</v>
      </c>
      <c r="O15">
        <v>14</v>
      </c>
      <c r="Q15" s="265" t="s">
        <v>568</v>
      </c>
    </row>
    <row r="16" spans="1:17" ht="15.75" x14ac:dyDescent="0.25">
      <c r="A16" s="39" t="s">
        <v>163</v>
      </c>
      <c r="B16" s="37" t="s">
        <v>132</v>
      </c>
      <c r="K16" s="38" t="s">
        <v>164</v>
      </c>
      <c r="N16">
        <v>15</v>
      </c>
      <c r="O16">
        <v>15</v>
      </c>
      <c r="Q16" s="265" t="s">
        <v>565</v>
      </c>
    </row>
    <row r="17" spans="1:17" ht="15.75" x14ac:dyDescent="0.25">
      <c r="A17" s="39" t="s">
        <v>165</v>
      </c>
      <c r="B17" s="37" t="s">
        <v>132</v>
      </c>
      <c r="K17" s="38" t="s">
        <v>166</v>
      </c>
      <c r="N17">
        <v>16</v>
      </c>
      <c r="O17">
        <v>16</v>
      </c>
      <c r="Q17" s="265" t="s">
        <v>569</v>
      </c>
    </row>
    <row r="18" spans="1:17" ht="15.75" x14ac:dyDescent="0.25">
      <c r="A18" s="39" t="s">
        <v>167</v>
      </c>
      <c r="B18" s="37" t="s">
        <v>132</v>
      </c>
      <c r="K18" s="38" t="s">
        <v>168</v>
      </c>
      <c r="N18">
        <v>17</v>
      </c>
      <c r="O18">
        <v>17</v>
      </c>
      <c r="Q18" s="265" t="s">
        <v>570</v>
      </c>
    </row>
    <row r="19" spans="1:17" ht="15.75" x14ac:dyDescent="0.25">
      <c r="A19" s="39" t="s">
        <v>169</v>
      </c>
      <c r="B19" s="37" t="s">
        <v>141</v>
      </c>
      <c r="K19" s="38" t="s">
        <v>170</v>
      </c>
      <c r="N19">
        <v>18</v>
      </c>
      <c r="O19">
        <v>18</v>
      </c>
      <c r="Q19" s="265" t="s">
        <v>571</v>
      </c>
    </row>
    <row r="20" spans="1:17" ht="15.75" x14ac:dyDescent="0.25">
      <c r="A20" s="39" t="s">
        <v>171</v>
      </c>
      <c r="B20" s="37" t="s">
        <v>141</v>
      </c>
      <c r="K20" s="38" t="s">
        <v>172</v>
      </c>
      <c r="N20">
        <v>19</v>
      </c>
      <c r="O20">
        <v>19</v>
      </c>
      <c r="Q20" s="265" t="s">
        <v>574</v>
      </c>
    </row>
    <row r="21" spans="1:17" ht="15.75" x14ac:dyDescent="0.25">
      <c r="A21" s="39" t="s">
        <v>173</v>
      </c>
      <c r="B21" s="37" t="s">
        <v>132</v>
      </c>
      <c r="K21" s="38" t="s">
        <v>174</v>
      </c>
      <c r="N21">
        <v>20</v>
      </c>
      <c r="O21">
        <v>20</v>
      </c>
      <c r="Q21" s="265" t="s">
        <v>573</v>
      </c>
    </row>
    <row r="22" spans="1:17" ht="15.75" x14ac:dyDescent="0.25">
      <c r="A22" s="39" t="s">
        <v>175</v>
      </c>
      <c r="B22" s="37" t="s">
        <v>132</v>
      </c>
      <c r="K22" s="38" t="s">
        <v>176</v>
      </c>
      <c r="N22">
        <v>21</v>
      </c>
      <c r="O22">
        <v>21</v>
      </c>
      <c r="Q22" s="265" t="s">
        <v>572</v>
      </c>
    </row>
    <row r="23" spans="1:17" ht="15.75" x14ac:dyDescent="0.25">
      <c r="A23" s="39" t="s">
        <v>177</v>
      </c>
      <c r="B23" s="37" t="s">
        <v>132</v>
      </c>
      <c r="K23" s="38" t="s">
        <v>178</v>
      </c>
      <c r="N23">
        <v>22</v>
      </c>
      <c r="O23">
        <v>22</v>
      </c>
      <c r="Q23" s="265" t="s">
        <v>575</v>
      </c>
    </row>
    <row r="24" spans="1:17" ht="15.75" x14ac:dyDescent="0.25">
      <c r="A24" s="39" t="s">
        <v>179</v>
      </c>
      <c r="B24" s="37" t="s">
        <v>132</v>
      </c>
      <c r="K24" s="38" t="s">
        <v>180</v>
      </c>
      <c r="N24">
        <v>23</v>
      </c>
      <c r="O24">
        <v>23</v>
      </c>
      <c r="Q24" s="265" t="s">
        <v>576</v>
      </c>
    </row>
    <row r="25" spans="1:17" ht="15.75" x14ac:dyDescent="0.25">
      <c r="A25" s="39" t="s">
        <v>181</v>
      </c>
      <c r="B25" s="37" t="s">
        <v>132</v>
      </c>
      <c r="K25" s="38" t="s">
        <v>182</v>
      </c>
      <c r="N25">
        <v>24</v>
      </c>
      <c r="O25">
        <v>24</v>
      </c>
      <c r="Q25" s="265" t="s">
        <v>578</v>
      </c>
    </row>
    <row r="26" spans="1:17" ht="15.75" x14ac:dyDescent="0.25">
      <c r="A26" s="39" t="s">
        <v>183</v>
      </c>
      <c r="B26" s="37" t="s">
        <v>132</v>
      </c>
      <c r="K26" s="38" t="s">
        <v>184</v>
      </c>
      <c r="N26">
        <v>25</v>
      </c>
      <c r="O26">
        <v>25</v>
      </c>
      <c r="Q26" s="265" t="s">
        <v>577</v>
      </c>
    </row>
    <row r="27" spans="1:17" ht="15.75" x14ac:dyDescent="0.25">
      <c r="A27" s="39" t="s">
        <v>185</v>
      </c>
      <c r="B27" s="37" t="s">
        <v>141</v>
      </c>
      <c r="K27" s="38" t="s">
        <v>186</v>
      </c>
      <c r="N27">
        <v>26</v>
      </c>
      <c r="O27">
        <v>26</v>
      </c>
      <c r="Q27" s="265" t="s">
        <v>579</v>
      </c>
    </row>
    <row r="28" spans="1:17" ht="15.75" x14ac:dyDescent="0.25">
      <c r="A28" s="39" t="s">
        <v>187</v>
      </c>
      <c r="B28" s="37" t="s">
        <v>132</v>
      </c>
      <c r="K28" s="38" t="s">
        <v>188</v>
      </c>
      <c r="N28">
        <v>27</v>
      </c>
      <c r="O28">
        <v>27</v>
      </c>
      <c r="Q28" s="265" t="s">
        <v>582</v>
      </c>
    </row>
    <row r="29" spans="1:17" ht="15.75" x14ac:dyDescent="0.25">
      <c r="A29" s="39" t="s">
        <v>189</v>
      </c>
      <c r="B29" s="37" t="s">
        <v>132</v>
      </c>
      <c r="K29" s="38" t="s">
        <v>190</v>
      </c>
      <c r="N29">
        <v>28</v>
      </c>
      <c r="O29">
        <v>28</v>
      </c>
      <c r="Q29" s="265" t="s">
        <v>586</v>
      </c>
    </row>
    <row r="30" spans="1:17" ht="15.75" x14ac:dyDescent="0.25">
      <c r="A30" s="39" t="s">
        <v>191</v>
      </c>
      <c r="B30" s="37" t="s">
        <v>132</v>
      </c>
      <c r="K30" s="38" t="s">
        <v>192</v>
      </c>
      <c r="N30">
        <v>29</v>
      </c>
      <c r="O30">
        <v>29</v>
      </c>
      <c r="Q30" s="265" t="s">
        <v>583</v>
      </c>
    </row>
    <row r="31" spans="1:17" ht="15.75" x14ac:dyDescent="0.25">
      <c r="A31" s="39" t="s">
        <v>193</v>
      </c>
      <c r="B31" s="37" t="s">
        <v>132</v>
      </c>
      <c r="K31" s="38" t="s">
        <v>194</v>
      </c>
      <c r="N31">
        <v>30</v>
      </c>
      <c r="O31">
        <v>30</v>
      </c>
      <c r="Q31" s="265" t="s">
        <v>584</v>
      </c>
    </row>
    <row r="32" spans="1:17" ht="15.75" x14ac:dyDescent="0.25">
      <c r="A32" s="39" t="s">
        <v>195</v>
      </c>
      <c r="B32" s="37" t="s">
        <v>132</v>
      </c>
      <c r="K32" s="38" t="s">
        <v>196</v>
      </c>
      <c r="O32">
        <v>31</v>
      </c>
      <c r="Q32" s="265" t="s">
        <v>585</v>
      </c>
    </row>
    <row r="33" spans="1:17" ht="15.75" x14ac:dyDescent="0.25">
      <c r="A33" s="39" t="s">
        <v>197</v>
      </c>
      <c r="B33" s="37" t="s">
        <v>132</v>
      </c>
      <c r="K33" s="38" t="s">
        <v>198</v>
      </c>
      <c r="O33">
        <v>32</v>
      </c>
      <c r="Q33" s="265" t="s">
        <v>587</v>
      </c>
    </row>
    <row r="34" spans="1:17" ht="15.75" x14ac:dyDescent="0.25">
      <c r="A34" s="39" t="s">
        <v>199</v>
      </c>
      <c r="B34" s="37" t="s">
        <v>141</v>
      </c>
      <c r="K34" s="38" t="s">
        <v>200</v>
      </c>
      <c r="O34">
        <v>33</v>
      </c>
      <c r="Q34" s="265" t="s">
        <v>580</v>
      </c>
    </row>
    <row r="35" spans="1:17" ht="15.75" x14ac:dyDescent="0.25">
      <c r="A35" s="39" t="s">
        <v>201</v>
      </c>
      <c r="B35" s="37" t="s">
        <v>132</v>
      </c>
      <c r="K35" s="38" t="s">
        <v>202</v>
      </c>
      <c r="O35">
        <v>34</v>
      </c>
      <c r="Q35" s="265" t="s">
        <v>581</v>
      </c>
    </row>
    <row r="36" spans="1:17" ht="15.75" x14ac:dyDescent="0.25">
      <c r="A36" s="39" t="s">
        <v>203</v>
      </c>
      <c r="B36" s="37" t="s">
        <v>132</v>
      </c>
      <c r="K36" s="38" t="s">
        <v>204</v>
      </c>
      <c r="O36">
        <v>35</v>
      </c>
      <c r="Q36" s="265" t="s">
        <v>588</v>
      </c>
    </row>
    <row r="37" spans="1:17" ht="15.75" x14ac:dyDescent="0.25">
      <c r="A37" s="39" t="s">
        <v>205</v>
      </c>
      <c r="B37" s="37" t="s">
        <v>132</v>
      </c>
      <c r="K37" s="38" t="s">
        <v>206</v>
      </c>
      <c r="O37">
        <v>36</v>
      </c>
      <c r="Q37" s="265" t="s">
        <v>589</v>
      </c>
    </row>
    <row r="38" spans="1:17" ht="15.75" x14ac:dyDescent="0.25">
      <c r="A38" s="39" t="s">
        <v>207</v>
      </c>
      <c r="B38" s="37" t="s">
        <v>132</v>
      </c>
      <c r="O38">
        <v>37</v>
      </c>
      <c r="Q38" s="265" t="s">
        <v>590</v>
      </c>
    </row>
    <row r="39" spans="1:17" ht="15.75" x14ac:dyDescent="0.25">
      <c r="A39" s="39" t="s">
        <v>208</v>
      </c>
      <c r="B39" s="37" t="s">
        <v>132</v>
      </c>
      <c r="O39">
        <v>38</v>
      </c>
      <c r="Q39" s="265" t="s">
        <v>591</v>
      </c>
    </row>
    <row r="40" spans="1:17" ht="15.75" x14ac:dyDescent="0.25">
      <c r="A40" s="39" t="s">
        <v>209</v>
      </c>
      <c r="B40" s="37" t="s">
        <v>132</v>
      </c>
      <c r="O40">
        <v>39</v>
      </c>
      <c r="Q40" s="265" t="s">
        <v>592</v>
      </c>
    </row>
    <row r="41" spans="1:17" ht="15.75" x14ac:dyDescent="0.25">
      <c r="A41" s="39" t="s">
        <v>210</v>
      </c>
      <c r="B41" s="37" t="s">
        <v>132</v>
      </c>
      <c r="O41">
        <v>40</v>
      </c>
      <c r="Q41" s="265" t="s">
        <v>593</v>
      </c>
    </row>
    <row r="42" spans="1:17" ht="15.75" x14ac:dyDescent="0.25">
      <c r="A42" s="39" t="s">
        <v>211</v>
      </c>
      <c r="B42" s="37" t="s">
        <v>141</v>
      </c>
      <c r="O42">
        <v>41</v>
      </c>
      <c r="Q42" s="265" t="s">
        <v>594</v>
      </c>
    </row>
    <row r="43" spans="1:17" ht="15.75" x14ac:dyDescent="0.25">
      <c r="A43" s="39" t="s">
        <v>212</v>
      </c>
      <c r="B43" s="37" t="s">
        <v>141</v>
      </c>
      <c r="O43">
        <v>42</v>
      </c>
      <c r="Q43" s="265" t="s">
        <v>595</v>
      </c>
    </row>
    <row r="44" spans="1:17" ht="15.75" x14ac:dyDescent="0.25">
      <c r="A44" s="39" t="s">
        <v>213</v>
      </c>
      <c r="B44" s="37" t="s">
        <v>132</v>
      </c>
      <c r="O44">
        <v>43</v>
      </c>
      <c r="Q44" s="265" t="s">
        <v>596</v>
      </c>
    </row>
    <row r="45" spans="1:17" ht="15.75" x14ac:dyDescent="0.25">
      <c r="A45" s="39" t="s">
        <v>214</v>
      </c>
      <c r="B45" s="37" t="s">
        <v>132</v>
      </c>
      <c r="O45">
        <v>44</v>
      </c>
      <c r="Q45" s="265" t="s">
        <v>597</v>
      </c>
    </row>
    <row r="46" spans="1:17" ht="15.75" x14ac:dyDescent="0.25">
      <c r="A46" s="39" t="s">
        <v>215</v>
      </c>
      <c r="B46" s="37" t="s">
        <v>132</v>
      </c>
      <c r="O46">
        <v>45</v>
      </c>
      <c r="Q46" s="265" t="s">
        <v>599</v>
      </c>
    </row>
    <row r="47" spans="1:17" ht="15.75" x14ac:dyDescent="0.25">
      <c r="A47" s="39" t="s">
        <v>216</v>
      </c>
      <c r="B47" s="37" t="s">
        <v>132</v>
      </c>
      <c r="O47">
        <v>46</v>
      </c>
      <c r="Q47" s="265" t="s">
        <v>598</v>
      </c>
    </row>
    <row r="48" spans="1:17" ht="15.75" x14ac:dyDescent="0.25">
      <c r="A48" s="39" t="s">
        <v>217</v>
      </c>
      <c r="B48" s="37" t="s">
        <v>141</v>
      </c>
      <c r="O48">
        <v>47</v>
      </c>
      <c r="Q48" s="265" t="s">
        <v>600</v>
      </c>
    </row>
    <row r="49" spans="1:17" ht="15.75" x14ac:dyDescent="0.25">
      <c r="A49" s="39" t="s">
        <v>218</v>
      </c>
      <c r="B49" s="37" t="s">
        <v>132</v>
      </c>
      <c r="O49">
        <v>48</v>
      </c>
      <c r="Q49" s="265" t="s">
        <v>602</v>
      </c>
    </row>
    <row r="50" spans="1:17" ht="15.75" x14ac:dyDescent="0.25">
      <c r="A50" s="39" t="s">
        <v>219</v>
      </c>
      <c r="B50" s="37" t="s">
        <v>132</v>
      </c>
      <c r="O50">
        <v>49</v>
      </c>
      <c r="Q50" s="265" t="s">
        <v>601</v>
      </c>
    </row>
    <row r="51" spans="1:17" ht="15.75" x14ac:dyDescent="0.25">
      <c r="A51" s="39" t="s">
        <v>220</v>
      </c>
      <c r="B51" s="37" t="s">
        <v>132</v>
      </c>
      <c r="O51">
        <v>50</v>
      </c>
      <c r="Q51" s="265" t="s">
        <v>603</v>
      </c>
    </row>
    <row r="52" spans="1:17" x14ac:dyDescent="0.25">
      <c r="A52" s="39" t="s">
        <v>221</v>
      </c>
      <c r="B52" s="37" t="s">
        <v>132</v>
      </c>
      <c r="O52">
        <v>51</v>
      </c>
    </row>
    <row r="53" spans="1:17" x14ac:dyDescent="0.25">
      <c r="A53" s="39" t="s">
        <v>222</v>
      </c>
      <c r="B53" s="37" t="s">
        <v>132</v>
      </c>
      <c r="O53">
        <v>52</v>
      </c>
    </row>
    <row r="54" spans="1:17" x14ac:dyDescent="0.25">
      <c r="A54" s="39" t="s">
        <v>223</v>
      </c>
      <c r="B54" s="37" t="s">
        <v>132</v>
      </c>
      <c r="O54">
        <v>53</v>
      </c>
    </row>
    <row r="55" spans="1:17" x14ac:dyDescent="0.25">
      <c r="A55" s="39" t="s">
        <v>224</v>
      </c>
      <c r="B55" s="37" t="s">
        <v>132</v>
      </c>
      <c r="O55">
        <v>54</v>
      </c>
    </row>
    <row r="56" spans="1:17" x14ac:dyDescent="0.25">
      <c r="A56" s="39" t="s">
        <v>225</v>
      </c>
      <c r="B56" s="37" t="s">
        <v>132</v>
      </c>
      <c r="O56">
        <v>55</v>
      </c>
    </row>
    <row r="57" spans="1:17" x14ac:dyDescent="0.25">
      <c r="A57" s="39" t="s">
        <v>226</v>
      </c>
      <c r="B57" s="37" t="s">
        <v>132</v>
      </c>
      <c r="O57">
        <v>56</v>
      </c>
    </row>
    <row r="58" spans="1:17" x14ac:dyDescent="0.25">
      <c r="A58" s="39" t="s">
        <v>227</v>
      </c>
      <c r="B58" s="37" t="s">
        <v>141</v>
      </c>
      <c r="O58">
        <v>57</v>
      </c>
    </row>
    <row r="59" spans="1:17" x14ac:dyDescent="0.25">
      <c r="A59" s="39" t="s">
        <v>228</v>
      </c>
      <c r="B59" s="37" t="s">
        <v>132</v>
      </c>
      <c r="O59">
        <v>58</v>
      </c>
    </row>
    <row r="60" spans="1:17" x14ac:dyDescent="0.25">
      <c r="A60" s="39" t="s">
        <v>229</v>
      </c>
      <c r="B60" s="37" t="s">
        <v>132</v>
      </c>
      <c r="O60">
        <v>59</v>
      </c>
    </row>
    <row r="61" spans="1:17" x14ac:dyDescent="0.25">
      <c r="A61" s="39" t="s">
        <v>230</v>
      </c>
      <c r="B61" s="37" t="s">
        <v>132</v>
      </c>
      <c r="O61">
        <v>60</v>
      </c>
    </row>
    <row r="62" spans="1:17" x14ac:dyDescent="0.25">
      <c r="A62" s="39" t="s">
        <v>231</v>
      </c>
      <c r="B62" s="37" t="s">
        <v>132</v>
      </c>
    </row>
    <row r="63" spans="1:17" x14ac:dyDescent="0.25">
      <c r="A63" s="39" t="s">
        <v>232</v>
      </c>
      <c r="B63" s="37" t="s">
        <v>132</v>
      </c>
    </row>
    <row r="64" spans="1:17" x14ac:dyDescent="0.25">
      <c r="A64" s="39" t="s">
        <v>233</v>
      </c>
      <c r="B64" s="37" t="s">
        <v>132</v>
      </c>
    </row>
    <row r="65" spans="1:2" x14ac:dyDescent="0.25">
      <c r="A65" s="39" t="s">
        <v>234</v>
      </c>
      <c r="B65" s="37" t="s">
        <v>141</v>
      </c>
    </row>
    <row r="66" spans="1:2" x14ac:dyDescent="0.25">
      <c r="A66" s="39" t="s">
        <v>235</v>
      </c>
      <c r="B66" s="37" t="s">
        <v>141</v>
      </c>
    </row>
    <row r="67" spans="1:2" x14ac:dyDescent="0.25">
      <c r="A67" s="39" t="s">
        <v>236</v>
      </c>
      <c r="B67" s="37" t="s">
        <v>132</v>
      </c>
    </row>
    <row r="68" spans="1:2" x14ac:dyDescent="0.25">
      <c r="A68" s="39" t="s">
        <v>237</v>
      </c>
      <c r="B68" s="37" t="s">
        <v>132</v>
      </c>
    </row>
    <row r="69" spans="1:2" x14ac:dyDescent="0.25">
      <c r="A69" s="39" t="s">
        <v>238</v>
      </c>
      <c r="B69" s="37" t="s">
        <v>141</v>
      </c>
    </row>
    <row r="70" spans="1:2" x14ac:dyDescent="0.25">
      <c r="A70" s="39" t="s">
        <v>239</v>
      </c>
      <c r="B70" s="37" t="s">
        <v>132</v>
      </c>
    </row>
    <row r="71" spans="1:2" x14ac:dyDescent="0.25">
      <c r="A71" s="39" t="s">
        <v>240</v>
      </c>
      <c r="B71" s="37" t="s">
        <v>132</v>
      </c>
    </row>
    <row r="72" spans="1:2" x14ac:dyDescent="0.25">
      <c r="A72" s="39" t="s">
        <v>241</v>
      </c>
      <c r="B72" s="37" t="s">
        <v>132</v>
      </c>
    </row>
    <row r="73" spans="1:2" x14ac:dyDescent="0.25">
      <c r="A73" s="39" t="s">
        <v>242</v>
      </c>
      <c r="B73" s="37" t="s">
        <v>132</v>
      </c>
    </row>
    <row r="74" spans="1:2" x14ac:dyDescent="0.25">
      <c r="A74" s="39" t="s">
        <v>243</v>
      </c>
      <c r="B74" s="37" t="s">
        <v>132</v>
      </c>
    </row>
    <row r="75" spans="1:2" x14ac:dyDescent="0.25">
      <c r="A75" s="39" t="s">
        <v>244</v>
      </c>
      <c r="B75" s="37" t="s">
        <v>132</v>
      </c>
    </row>
    <row r="76" spans="1:2" x14ac:dyDescent="0.25">
      <c r="A76" s="39" t="s">
        <v>245</v>
      </c>
      <c r="B76" s="37" t="s">
        <v>141</v>
      </c>
    </row>
    <row r="77" spans="1:2" x14ac:dyDescent="0.25">
      <c r="A77" s="39" t="s">
        <v>246</v>
      </c>
      <c r="B77" s="37" t="s">
        <v>132</v>
      </c>
    </row>
    <row r="78" spans="1:2" x14ac:dyDescent="0.25">
      <c r="A78" s="39" t="s">
        <v>247</v>
      </c>
      <c r="B78" s="37" t="s">
        <v>132</v>
      </c>
    </row>
    <row r="79" spans="1:2" x14ac:dyDescent="0.25">
      <c r="A79" s="39" t="s">
        <v>248</v>
      </c>
      <c r="B79" s="37" t="s">
        <v>132</v>
      </c>
    </row>
    <row r="80" spans="1:2" x14ac:dyDescent="0.25">
      <c r="A80" s="39" t="s">
        <v>249</v>
      </c>
      <c r="B80" s="37" t="s">
        <v>132</v>
      </c>
    </row>
    <row r="81" spans="1:2" x14ac:dyDescent="0.25">
      <c r="A81" s="39" t="s">
        <v>250</v>
      </c>
      <c r="B81" s="37" t="s">
        <v>141</v>
      </c>
    </row>
    <row r="82" spans="1:2" x14ac:dyDescent="0.25">
      <c r="A82" s="39" t="s">
        <v>251</v>
      </c>
      <c r="B82" s="37" t="s">
        <v>132</v>
      </c>
    </row>
    <row r="83" spans="1:2" x14ac:dyDescent="0.25">
      <c r="A83" s="39" t="s">
        <v>252</v>
      </c>
      <c r="B83" s="37" t="s">
        <v>141</v>
      </c>
    </row>
    <row r="84" spans="1:2" x14ac:dyDescent="0.25">
      <c r="A84" s="39" t="s">
        <v>253</v>
      </c>
      <c r="B84" s="37" t="s">
        <v>132</v>
      </c>
    </row>
    <row r="85" spans="1:2" x14ac:dyDescent="0.25">
      <c r="A85" s="39" t="s">
        <v>254</v>
      </c>
      <c r="B85" s="37" t="s">
        <v>132</v>
      </c>
    </row>
    <row r="86" spans="1:2" x14ac:dyDescent="0.25">
      <c r="A86" s="39" t="s">
        <v>255</v>
      </c>
      <c r="B86" s="37" t="s">
        <v>132</v>
      </c>
    </row>
    <row r="87" spans="1:2" x14ac:dyDescent="0.25">
      <c r="A87" s="39" t="s">
        <v>256</v>
      </c>
      <c r="B87" s="37" t="s">
        <v>141</v>
      </c>
    </row>
    <row r="88" spans="1:2" x14ac:dyDescent="0.25">
      <c r="A88" s="39" t="s">
        <v>257</v>
      </c>
      <c r="B88" s="37" t="s">
        <v>132</v>
      </c>
    </row>
    <row r="89" spans="1:2" x14ac:dyDescent="0.25">
      <c r="A89" s="39" t="s">
        <v>258</v>
      </c>
      <c r="B89" s="37" t="s">
        <v>132</v>
      </c>
    </row>
    <row r="90" spans="1:2" x14ac:dyDescent="0.25">
      <c r="A90" s="39" t="s">
        <v>259</v>
      </c>
      <c r="B90" s="37" t="s">
        <v>132</v>
      </c>
    </row>
    <row r="91" spans="1:2" x14ac:dyDescent="0.25">
      <c r="A91" s="39" t="s">
        <v>260</v>
      </c>
      <c r="B91" s="37" t="s">
        <v>132</v>
      </c>
    </row>
    <row r="92" spans="1:2" x14ac:dyDescent="0.25">
      <c r="A92" s="39" t="s">
        <v>261</v>
      </c>
      <c r="B92" s="37" t="s">
        <v>141</v>
      </c>
    </row>
    <row r="93" spans="1:2" x14ac:dyDescent="0.25">
      <c r="A93" s="39" t="s">
        <v>262</v>
      </c>
      <c r="B93" s="37" t="s">
        <v>132</v>
      </c>
    </row>
    <row r="94" spans="1:2" x14ac:dyDescent="0.25">
      <c r="A94" s="39" t="s">
        <v>263</v>
      </c>
      <c r="B94" s="37" t="s">
        <v>132</v>
      </c>
    </row>
    <row r="95" spans="1:2" x14ac:dyDescent="0.25">
      <c r="A95" s="39" t="s">
        <v>264</v>
      </c>
      <c r="B95" s="37" t="s">
        <v>132</v>
      </c>
    </row>
    <row r="96" spans="1:2" x14ac:dyDescent="0.25">
      <c r="A96" s="39" t="s">
        <v>265</v>
      </c>
      <c r="B96" s="37" t="s">
        <v>132</v>
      </c>
    </row>
    <row r="97" spans="1:2" x14ac:dyDescent="0.25">
      <c r="A97" s="39" t="s">
        <v>266</v>
      </c>
      <c r="B97" s="37" t="s">
        <v>132</v>
      </c>
    </row>
    <row r="98" spans="1:2" x14ac:dyDescent="0.25">
      <c r="A98" s="39" t="s">
        <v>267</v>
      </c>
      <c r="B98" s="37" t="s">
        <v>132</v>
      </c>
    </row>
    <row r="99" spans="1:2" x14ac:dyDescent="0.25">
      <c r="A99" s="39" t="s">
        <v>268</v>
      </c>
      <c r="B99" s="37" t="s">
        <v>132</v>
      </c>
    </row>
    <row r="100" spans="1:2" x14ac:dyDescent="0.25">
      <c r="A100" s="39" t="s">
        <v>269</v>
      </c>
      <c r="B100" s="37" t="s">
        <v>132</v>
      </c>
    </row>
    <row r="101" spans="1:2" x14ac:dyDescent="0.25">
      <c r="A101" s="39" t="s">
        <v>270</v>
      </c>
      <c r="B101" s="37" t="s">
        <v>132</v>
      </c>
    </row>
    <row r="102" spans="1:2" x14ac:dyDescent="0.25">
      <c r="A102" s="39" t="s">
        <v>271</v>
      </c>
      <c r="B102" s="37" t="s">
        <v>132</v>
      </c>
    </row>
    <row r="103" spans="1:2" x14ac:dyDescent="0.25">
      <c r="A103" s="39" t="s">
        <v>272</v>
      </c>
      <c r="B103" s="37" t="s">
        <v>132</v>
      </c>
    </row>
    <row r="104" spans="1:2" x14ac:dyDescent="0.25">
      <c r="A104" s="39" t="s">
        <v>273</v>
      </c>
      <c r="B104" s="37" t="s">
        <v>132</v>
      </c>
    </row>
    <row r="105" spans="1:2" x14ac:dyDescent="0.25">
      <c r="A105" s="39" t="s">
        <v>274</v>
      </c>
      <c r="B105" s="37" t="s">
        <v>132</v>
      </c>
    </row>
    <row r="106" spans="1:2" x14ac:dyDescent="0.25">
      <c r="A106" s="39" t="s">
        <v>275</v>
      </c>
      <c r="B106" s="37" t="s">
        <v>141</v>
      </c>
    </row>
    <row r="107" spans="1:2" x14ac:dyDescent="0.25">
      <c r="A107" s="39" t="s">
        <v>276</v>
      </c>
      <c r="B107" s="37" t="s">
        <v>132</v>
      </c>
    </row>
    <row r="108" spans="1:2" x14ac:dyDescent="0.25">
      <c r="A108" s="39" t="s">
        <v>277</v>
      </c>
      <c r="B108" s="37" t="s">
        <v>132</v>
      </c>
    </row>
    <row r="109" spans="1:2" x14ac:dyDescent="0.25">
      <c r="A109" s="39" t="s">
        <v>278</v>
      </c>
      <c r="B109" s="37" t="s">
        <v>132</v>
      </c>
    </row>
    <row r="110" spans="1:2" x14ac:dyDescent="0.25">
      <c r="A110" s="39" t="s">
        <v>279</v>
      </c>
      <c r="B110" s="37" t="s">
        <v>141</v>
      </c>
    </row>
    <row r="111" spans="1:2" x14ac:dyDescent="0.25">
      <c r="A111" s="39" t="s">
        <v>280</v>
      </c>
      <c r="B111" s="37" t="s">
        <v>141</v>
      </c>
    </row>
    <row r="112" spans="1:2" x14ac:dyDescent="0.25">
      <c r="A112" s="39" t="s">
        <v>281</v>
      </c>
      <c r="B112" s="37" t="s">
        <v>132</v>
      </c>
    </row>
    <row r="113" spans="1:2" x14ac:dyDescent="0.25">
      <c r="A113" s="39" t="s">
        <v>282</v>
      </c>
      <c r="B113" s="37" t="s">
        <v>132</v>
      </c>
    </row>
    <row r="114" spans="1:2" x14ac:dyDescent="0.25">
      <c r="A114" s="39" t="s">
        <v>283</v>
      </c>
      <c r="B114" s="37" t="s">
        <v>132</v>
      </c>
    </row>
    <row r="115" spans="1:2" x14ac:dyDescent="0.25">
      <c r="A115" s="39" t="s">
        <v>284</v>
      </c>
      <c r="B115" s="37" t="s">
        <v>141</v>
      </c>
    </row>
    <row r="116" spans="1:2" x14ac:dyDescent="0.25">
      <c r="A116" s="39" t="s">
        <v>285</v>
      </c>
      <c r="B116" s="37" t="s">
        <v>132</v>
      </c>
    </row>
    <row r="117" spans="1:2" x14ac:dyDescent="0.25">
      <c r="A117" s="39" t="s">
        <v>286</v>
      </c>
      <c r="B117" s="37" t="s">
        <v>132</v>
      </c>
    </row>
    <row r="118" spans="1:2" x14ac:dyDescent="0.25">
      <c r="A118" s="39" t="s">
        <v>287</v>
      </c>
      <c r="B118" s="37" t="s">
        <v>132</v>
      </c>
    </row>
    <row r="119" spans="1:2" x14ac:dyDescent="0.25">
      <c r="A119" s="39" t="s">
        <v>288</v>
      </c>
      <c r="B119" s="37" t="s">
        <v>141</v>
      </c>
    </row>
    <row r="120" spans="1:2" x14ac:dyDescent="0.25">
      <c r="A120" s="39" t="s">
        <v>289</v>
      </c>
      <c r="B120" s="37" t="s">
        <v>132</v>
      </c>
    </row>
    <row r="121" spans="1:2" x14ac:dyDescent="0.25">
      <c r="A121" s="39" t="s">
        <v>290</v>
      </c>
      <c r="B121" s="37" t="s">
        <v>132</v>
      </c>
    </row>
    <row r="122" spans="1:2" x14ac:dyDescent="0.25">
      <c r="A122" s="39" t="s">
        <v>291</v>
      </c>
      <c r="B122" s="37" t="s">
        <v>132</v>
      </c>
    </row>
    <row r="123" spans="1:2" x14ac:dyDescent="0.25">
      <c r="A123" s="39" t="s">
        <v>292</v>
      </c>
      <c r="B123" s="37" t="s">
        <v>132</v>
      </c>
    </row>
    <row r="124" spans="1:2" x14ac:dyDescent="0.25">
      <c r="A124" s="39" t="s">
        <v>293</v>
      </c>
      <c r="B124" s="37" t="s">
        <v>132</v>
      </c>
    </row>
    <row r="125" spans="1:2" x14ac:dyDescent="0.25">
      <c r="A125" s="39" t="s">
        <v>294</v>
      </c>
      <c r="B125" s="37" t="s">
        <v>132</v>
      </c>
    </row>
    <row r="126" spans="1:2" x14ac:dyDescent="0.25">
      <c r="A126" s="39" t="s">
        <v>295</v>
      </c>
      <c r="B126" s="37" t="s">
        <v>132</v>
      </c>
    </row>
    <row r="127" spans="1:2" x14ac:dyDescent="0.25">
      <c r="A127" s="39" t="s">
        <v>296</v>
      </c>
      <c r="B127" s="37" t="s">
        <v>141</v>
      </c>
    </row>
    <row r="128" spans="1:2" x14ac:dyDescent="0.25">
      <c r="A128" s="39" t="s">
        <v>297</v>
      </c>
      <c r="B128" s="37" t="s">
        <v>132</v>
      </c>
    </row>
    <row r="129" spans="1:2" x14ac:dyDescent="0.25">
      <c r="A129" s="39" t="s">
        <v>298</v>
      </c>
      <c r="B129" s="37" t="s">
        <v>132</v>
      </c>
    </row>
    <row r="130" spans="1:2" x14ac:dyDescent="0.25">
      <c r="A130" s="39" t="s">
        <v>299</v>
      </c>
      <c r="B130" s="37" t="s">
        <v>132</v>
      </c>
    </row>
    <row r="131" spans="1:2" x14ac:dyDescent="0.25">
      <c r="A131" s="39" t="s">
        <v>300</v>
      </c>
      <c r="B131" s="37" t="s">
        <v>132</v>
      </c>
    </row>
    <row r="132" spans="1:2" x14ac:dyDescent="0.25">
      <c r="A132" s="39" t="s">
        <v>301</v>
      </c>
      <c r="B132" s="37" t="s">
        <v>141</v>
      </c>
    </row>
    <row r="133" spans="1:2" x14ac:dyDescent="0.25">
      <c r="A133" s="39" t="s">
        <v>302</v>
      </c>
      <c r="B133" s="37" t="s">
        <v>141</v>
      </c>
    </row>
    <row r="134" spans="1:2" x14ac:dyDescent="0.25">
      <c r="A134" s="39" t="s">
        <v>303</v>
      </c>
      <c r="B134" s="37" t="s">
        <v>132</v>
      </c>
    </row>
    <row r="135" spans="1:2" x14ac:dyDescent="0.25">
      <c r="A135" s="39" t="s">
        <v>304</v>
      </c>
      <c r="B135" s="37" t="s">
        <v>132</v>
      </c>
    </row>
    <row r="136" spans="1:2" x14ac:dyDescent="0.25">
      <c r="A136" s="39" t="s">
        <v>305</v>
      </c>
      <c r="B136" s="37" t="s">
        <v>132</v>
      </c>
    </row>
    <row r="137" spans="1:2" x14ac:dyDescent="0.25">
      <c r="A137" s="39" t="s">
        <v>306</v>
      </c>
      <c r="B137" s="37" t="s">
        <v>132</v>
      </c>
    </row>
    <row r="138" spans="1:2" x14ac:dyDescent="0.25">
      <c r="A138" s="39" t="s">
        <v>307</v>
      </c>
      <c r="B138" s="37" t="s">
        <v>132</v>
      </c>
    </row>
    <row r="139" spans="1:2" x14ac:dyDescent="0.25">
      <c r="A139" s="39" t="s">
        <v>308</v>
      </c>
      <c r="B139" s="37" t="s">
        <v>141</v>
      </c>
    </row>
    <row r="140" spans="1:2" x14ac:dyDescent="0.25">
      <c r="A140" s="39" t="s">
        <v>309</v>
      </c>
      <c r="B140" s="37" t="s">
        <v>132</v>
      </c>
    </row>
    <row r="141" spans="1:2" x14ac:dyDescent="0.25">
      <c r="A141" s="39" t="s">
        <v>310</v>
      </c>
      <c r="B141" s="37" t="s">
        <v>132</v>
      </c>
    </row>
    <row r="142" spans="1:2" x14ac:dyDescent="0.25">
      <c r="A142" s="39" t="s">
        <v>311</v>
      </c>
      <c r="B142" s="37" t="s">
        <v>132</v>
      </c>
    </row>
    <row r="143" spans="1:2" x14ac:dyDescent="0.25">
      <c r="A143" s="39" t="s">
        <v>312</v>
      </c>
      <c r="B143" s="37" t="s">
        <v>132</v>
      </c>
    </row>
    <row r="144" spans="1:2" x14ac:dyDescent="0.25">
      <c r="A144" s="39" t="s">
        <v>313</v>
      </c>
      <c r="B144" s="37" t="s">
        <v>132</v>
      </c>
    </row>
    <row r="145" spans="1:2" x14ac:dyDescent="0.25">
      <c r="A145" s="39" t="s">
        <v>314</v>
      </c>
      <c r="B145" s="37" t="s">
        <v>132</v>
      </c>
    </row>
    <row r="146" spans="1:2" x14ac:dyDescent="0.25">
      <c r="A146" s="39" t="s">
        <v>315</v>
      </c>
      <c r="B146" s="37" t="s">
        <v>132</v>
      </c>
    </row>
    <row r="147" spans="1:2" x14ac:dyDescent="0.25">
      <c r="A147" s="39" t="s">
        <v>316</v>
      </c>
      <c r="B147" s="37" t="s">
        <v>132</v>
      </c>
    </row>
    <row r="148" spans="1:2" x14ac:dyDescent="0.25">
      <c r="A148" s="39" t="s">
        <v>317</v>
      </c>
      <c r="B148" s="37" t="s">
        <v>132</v>
      </c>
    </row>
    <row r="149" spans="1:2" x14ac:dyDescent="0.25">
      <c r="A149" s="39" t="s">
        <v>318</v>
      </c>
      <c r="B149" s="37" t="s">
        <v>132</v>
      </c>
    </row>
    <row r="150" spans="1:2" x14ac:dyDescent="0.25">
      <c r="A150" s="39" t="s">
        <v>319</v>
      </c>
      <c r="B150" s="37" t="s">
        <v>132</v>
      </c>
    </row>
    <row r="151" spans="1:2" x14ac:dyDescent="0.25">
      <c r="A151" s="39" t="s">
        <v>320</v>
      </c>
      <c r="B151" s="37" t="s">
        <v>132</v>
      </c>
    </row>
    <row r="152" spans="1:2" x14ac:dyDescent="0.25">
      <c r="A152" s="39" t="s">
        <v>321</v>
      </c>
      <c r="B152" s="37" t="s">
        <v>141</v>
      </c>
    </row>
    <row r="153" spans="1:2" x14ac:dyDescent="0.25">
      <c r="A153" s="39" t="s">
        <v>322</v>
      </c>
      <c r="B153" s="37" t="s">
        <v>132</v>
      </c>
    </row>
    <row r="154" spans="1:2" x14ac:dyDescent="0.25">
      <c r="A154" s="39" t="s">
        <v>323</v>
      </c>
      <c r="B154" s="37" t="s">
        <v>132</v>
      </c>
    </row>
    <row r="155" spans="1:2" x14ac:dyDescent="0.25">
      <c r="A155" s="39" t="s">
        <v>324</v>
      </c>
      <c r="B155" s="37" t="s">
        <v>132</v>
      </c>
    </row>
    <row r="156" spans="1:2" x14ac:dyDescent="0.25">
      <c r="A156" s="39" t="s">
        <v>325</v>
      </c>
      <c r="B156" s="37" t="s">
        <v>132</v>
      </c>
    </row>
    <row r="157" spans="1:2" x14ac:dyDescent="0.25">
      <c r="A157" s="39" t="s">
        <v>326</v>
      </c>
      <c r="B157" s="37" t="s">
        <v>132</v>
      </c>
    </row>
    <row r="158" spans="1:2" x14ac:dyDescent="0.25">
      <c r="A158" s="39" t="s">
        <v>327</v>
      </c>
      <c r="B158" s="37" t="s">
        <v>132</v>
      </c>
    </row>
    <row r="159" spans="1:2" x14ac:dyDescent="0.25">
      <c r="A159" s="39" t="s">
        <v>328</v>
      </c>
      <c r="B159" s="37" t="s">
        <v>132</v>
      </c>
    </row>
    <row r="160" spans="1:2" x14ac:dyDescent="0.25">
      <c r="A160" s="39" t="s">
        <v>329</v>
      </c>
      <c r="B160" s="37" t="s">
        <v>132</v>
      </c>
    </row>
    <row r="161" spans="1:2" x14ac:dyDescent="0.25">
      <c r="A161" s="39" t="s">
        <v>330</v>
      </c>
      <c r="B161" s="37" t="s">
        <v>141</v>
      </c>
    </row>
    <row r="162" spans="1:2" x14ac:dyDescent="0.25">
      <c r="A162" s="39" t="s">
        <v>331</v>
      </c>
      <c r="B162" s="37" t="s">
        <v>132</v>
      </c>
    </row>
    <row r="163" spans="1:2" x14ac:dyDescent="0.25">
      <c r="A163" s="39" t="s">
        <v>332</v>
      </c>
      <c r="B163" s="37" t="s">
        <v>132</v>
      </c>
    </row>
    <row r="164" spans="1:2" x14ac:dyDescent="0.25">
      <c r="A164" s="39" t="s">
        <v>333</v>
      </c>
      <c r="B164" s="37" t="s">
        <v>132</v>
      </c>
    </row>
    <row r="165" spans="1:2" x14ac:dyDescent="0.25">
      <c r="A165" s="39" t="s">
        <v>334</v>
      </c>
      <c r="B165" s="37" t="s">
        <v>132</v>
      </c>
    </row>
    <row r="166" spans="1:2" x14ac:dyDescent="0.25">
      <c r="A166" s="39" t="s">
        <v>335</v>
      </c>
      <c r="B166" s="37" t="s">
        <v>132</v>
      </c>
    </row>
    <row r="167" spans="1:2" x14ac:dyDescent="0.25">
      <c r="A167" s="39" t="s">
        <v>336</v>
      </c>
      <c r="B167" s="37" t="s">
        <v>132</v>
      </c>
    </row>
    <row r="168" spans="1:2" x14ac:dyDescent="0.25">
      <c r="A168" s="39" t="s">
        <v>337</v>
      </c>
      <c r="B168" s="37" t="s">
        <v>141</v>
      </c>
    </row>
    <row r="169" spans="1:2" x14ac:dyDescent="0.25">
      <c r="A169" s="39" t="s">
        <v>338</v>
      </c>
      <c r="B169" s="37" t="s">
        <v>132</v>
      </c>
    </row>
    <row r="170" spans="1:2" x14ac:dyDescent="0.25">
      <c r="A170" s="39" t="s">
        <v>339</v>
      </c>
      <c r="B170" s="37" t="s">
        <v>132</v>
      </c>
    </row>
    <row r="171" spans="1:2" x14ac:dyDescent="0.25">
      <c r="A171" s="39" t="s">
        <v>340</v>
      </c>
      <c r="B171" s="37" t="s">
        <v>132</v>
      </c>
    </row>
    <row r="172" spans="1:2" x14ac:dyDescent="0.25">
      <c r="A172" s="39" t="s">
        <v>341</v>
      </c>
      <c r="B172" s="37" t="s">
        <v>132</v>
      </c>
    </row>
    <row r="173" spans="1:2" x14ac:dyDescent="0.25">
      <c r="A173" s="39" t="s">
        <v>342</v>
      </c>
      <c r="B173" s="37" t="s">
        <v>132</v>
      </c>
    </row>
    <row r="174" spans="1:2" x14ac:dyDescent="0.25">
      <c r="A174" s="39" t="s">
        <v>343</v>
      </c>
      <c r="B174" s="37" t="s">
        <v>132</v>
      </c>
    </row>
    <row r="175" spans="1:2" x14ac:dyDescent="0.25">
      <c r="A175" s="39" t="s">
        <v>344</v>
      </c>
      <c r="B175" s="37" t="s">
        <v>141</v>
      </c>
    </row>
    <row r="176" spans="1:2" x14ac:dyDescent="0.25">
      <c r="A176" s="39" t="s">
        <v>345</v>
      </c>
      <c r="B176" s="37" t="s">
        <v>132</v>
      </c>
    </row>
    <row r="177" spans="1:2" x14ac:dyDescent="0.25">
      <c r="A177" s="39" t="s">
        <v>346</v>
      </c>
      <c r="B177" s="37" t="s">
        <v>132</v>
      </c>
    </row>
    <row r="178" spans="1:2" x14ac:dyDescent="0.25">
      <c r="A178" s="39" t="s">
        <v>347</v>
      </c>
      <c r="B178" s="37" t="s">
        <v>132</v>
      </c>
    </row>
    <row r="179" spans="1:2" x14ac:dyDescent="0.25">
      <c r="A179" s="39" t="s">
        <v>348</v>
      </c>
      <c r="B179" s="37" t="s">
        <v>141</v>
      </c>
    </row>
    <row r="180" spans="1:2" x14ac:dyDescent="0.25">
      <c r="A180" s="39" t="s">
        <v>349</v>
      </c>
      <c r="B180" s="37" t="s">
        <v>132</v>
      </c>
    </row>
    <row r="181" spans="1:2" x14ac:dyDescent="0.25">
      <c r="A181" s="39" t="s">
        <v>350</v>
      </c>
      <c r="B181" s="37" t="s">
        <v>132</v>
      </c>
    </row>
    <row r="182" spans="1:2" x14ac:dyDescent="0.25">
      <c r="A182" s="39" t="s">
        <v>351</v>
      </c>
      <c r="B182" s="37" t="s">
        <v>132</v>
      </c>
    </row>
    <row r="183" spans="1:2" x14ac:dyDescent="0.25">
      <c r="A183" s="39" t="s">
        <v>352</v>
      </c>
      <c r="B183" s="37" t="s">
        <v>132</v>
      </c>
    </row>
    <row r="184" spans="1:2" x14ac:dyDescent="0.25">
      <c r="A184" s="39" t="s">
        <v>353</v>
      </c>
      <c r="B184" s="37" t="s">
        <v>132</v>
      </c>
    </row>
    <row r="185" spans="1:2" x14ac:dyDescent="0.25">
      <c r="A185" s="39" t="s">
        <v>354</v>
      </c>
      <c r="B185" s="37" t="s">
        <v>132</v>
      </c>
    </row>
    <row r="186" spans="1:2" x14ac:dyDescent="0.25">
      <c r="A186" s="39" t="s">
        <v>355</v>
      </c>
      <c r="B186" s="37" t="s">
        <v>141</v>
      </c>
    </row>
    <row r="187" spans="1:2" x14ac:dyDescent="0.25">
      <c r="A187" s="39" t="s">
        <v>356</v>
      </c>
      <c r="B187" s="37" t="s">
        <v>132</v>
      </c>
    </row>
    <row r="188" spans="1:2" x14ac:dyDescent="0.25">
      <c r="A188" s="39" t="s">
        <v>357</v>
      </c>
      <c r="B188" s="37" t="s">
        <v>132</v>
      </c>
    </row>
    <row r="189" spans="1:2" x14ac:dyDescent="0.25">
      <c r="A189" s="39" t="s">
        <v>358</v>
      </c>
      <c r="B189" s="37" t="s">
        <v>132</v>
      </c>
    </row>
    <row r="190" spans="1:2" x14ac:dyDescent="0.25">
      <c r="A190" s="39" t="s">
        <v>359</v>
      </c>
      <c r="B190" s="37" t="s">
        <v>132</v>
      </c>
    </row>
    <row r="191" spans="1:2" x14ac:dyDescent="0.25">
      <c r="A191" s="39" t="s">
        <v>360</v>
      </c>
      <c r="B191" s="37" t="s">
        <v>132</v>
      </c>
    </row>
    <row r="192" spans="1:2" x14ac:dyDescent="0.25">
      <c r="A192" s="39" t="s">
        <v>361</v>
      </c>
      <c r="B192" s="37" t="s">
        <v>132</v>
      </c>
    </row>
    <row r="193" spans="1:2" x14ac:dyDescent="0.25">
      <c r="A193" s="39" t="s">
        <v>362</v>
      </c>
      <c r="B193" s="37" t="s">
        <v>132</v>
      </c>
    </row>
    <row r="194" spans="1:2" x14ac:dyDescent="0.25">
      <c r="A194" s="39" t="s">
        <v>363</v>
      </c>
      <c r="B194" s="37" t="s">
        <v>132</v>
      </c>
    </row>
    <row r="195" spans="1:2" x14ac:dyDescent="0.25">
      <c r="A195" s="39" t="s">
        <v>364</v>
      </c>
      <c r="B195" s="37" t="s">
        <v>132</v>
      </c>
    </row>
    <row r="196" spans="1:2" x14ac:dyDescent="0.25">
      <c r="A196" s="39" t="s">
        <v>365</v>
      </c>
      <c r="B196" s="37" t="s">
        <v>141</v>
      </c>
    </row>
    <row r="197" spans="1:2" x14ac:dyDescent="0.25">
      <c r="A197" s="39" t="s">
        <v>366</v>
      </c>
      <c r="B197" s="37" t="s">
        <v>132</v>
      </c>
    </row>
    <row r="198" spans="1:2" x14ac:dyDescent="0.25">
      <c r="A198" s="39" t="s">
        <v>367</v>
      </c>
      <c r="B198" s="37" t="s">
        <v>132</v>
      </c>
    </row>
    <row r="199" spans="1:2" x14ac:dyDescent="0.25">
      <c r="A199" s="39" t="s">
        <v>368</v>
      </c>
      <c r="B199" s="37" t="s">
        <v>132</v>
      </c>
    </row>
    <row r="200" spans="1:2" x14ac:dyDescent="0.25">
      <c r="A200" s="39" t="s">
        <v>369</v>
      </c>
      <c r="B200" s="37" t="s">
        <v>132</v>
      </c>
    </row>
    <row r="201" spans="1:2" x14ac:dyDescent="0.25">
      <c r="A201" s="39" t="s">
        <v>370</v>
      </c>
      <c r="B201" s="37" t="s">
        <v>132</v>
      </c>
    </row>
    <row r="202" spans="1:2" x14ac:dyDescent="0.25">
      <c r="A202" s="39" t="s">
        <v>371</v>
      </c>
      <c r="B202" s="37" t="s">
        <v>141</v>
      </c>
    </row>
    <row r="203" spans="1:2" x14ac:dyDescent="0.25">
      <c r="A203" s="39" t="s">
        <v>372</v>
      </c>
      <c r="B203" s="37" t="s">
        <v>132</v>
      </c>
    </row>
    <row r="204" spans="1:2" x14ac:dyDescent="0.25">
      <c r="A204" s="39" t="s">
        <v>373</v>
      </c>
      <c r="B204" s="37" t="s">
        <v>132</v>
      </c>
    </row>
    <row r="205" spans="1:2" x14ac:dyDescent="0.25">
      <c r="A205" s="39" t="s">
        <v>374</v>
      </c>
      <c r="B205" s="37" t="s">
        <v>132</v>
      </c>
    </row>
    <row r="206" spans="1:2" x14ac:dyDescent="0.25">
      <c r="A206" s="39" t="s">
        <v>375</v>
      </c>
      <c r="B206" s="37" t="s">
        <v>132</v>
      </c>
    </row>
    <row r="207" spans="1:2" x14ac:dyDescent="0.25">
      <c r="A207" s="39" t="s">
        <v>376</v>
      </c>
      <c r="B207" s="37" t="s">
        <v>132</v>
      </c>
    </row>
    <row r="208" spans="1:2" x14ac:dyDescent="0.25">
      <c r="A208" s="39" t="s">
        <v>377</v>
      </c>
      <c r="B208" s="37" t="s">
        <v>132</v>
      </c>
    </row>
    <row r="209" spans="1:2" x14ac:dyDescent="0.25">
      <c r="A209" s="39" t="s">
        <v>378</v>
      </c>
      <c r="B209" s="37" t="s">
        <v>132</v>
      </c>
    </row>
    <row r="210" spans="1:2" x14ac:dyDescent="0.25">
      <c r="A210" s="39" t="s">
        <v>379</v>
      </c>
      <c r="B210" s="37" t="s">
        <v>132</v>
      </c>
    </row>
    <row r="211" spans="1:2" x14ac:dyDescent="0.25">
      <c r="A211" s="39" t="s">
        <v>380</v>
      </c>
      <c r="B211" s="37" t="s">
        <v>132</v>
      </c>
    </row>
    <row r="212" spans="1:2" x14ac:dyDescent="0.25">
      <c r="A212" s="39" t="s">
        <v>381</v>
      </c>
      <c r="B212" s="37" t="s">
        <v>132</v>
      </c>
    </row>
    <row r="213" spans="1:2" x14ac:dyDescent="0.25">
      <c r="A213" s="39" t="s">
        <v>382</v>
      </c>
      <c r="B213" s="37" t="s">
        <v>141</v>
      </c>
    </row>
    <row r="214" spans="1:2" x14ac:dyDescent="0.25">
      <c r="A214" s="39" t="s">
        <v>383</v>
      </c>
      <c r="B214" s="37" t="s">
        <v>132</v>
      </c>
    </row>
    <row r="215" spans="1:2" x14ac:dyDescent="0.25">
      <c r="A215" s="39" t="s">
        <v>384</v>
      </c>
      <c r="B215" s="37" t="s">
        <v>132</v>
      </c>
    </row>
    <row r="216" spans="1:2" x14ac:dyDescent="0.25">
      <c r="A216" s="39" t="s">
        <v>385</v>
      </c>
      <c r="B216" s="37" t="s">
        <v>141</v>
      </c>
    </row>
    <row r="217" spans="1:2" x14ac:dyDescent="0.25">
      <c r="A217" s="39" t="s">
        <v>386</v>
      </c>
      <c r="B217" s="37" t="s">
        <v>141</v>
      </c>
    </row>
    <row r="218" spans="1:2" x14ac:dyDescent="0.25">
      <c r="A218" s="39" t="s">
        <v>387</v>
      </c>
      <c r="B218" s="37" t="s">
        <v>132</v>
      </c>
    </row>
    <row r="219" spans="1:2" x14ac:dyDescent="0.25">
      <c r="A219" s="39" t="s">
        <v>388</v>
      </c>
      <c r="B219" s="37" t="s">
        <v>132</v>
      </c>
    </row>
    <row r="220" spans="1:2" x14ac:dyDescent="0.25">
      <c r="A220" s="39" t="s">
        <v>389</v>
      </c>
      <c r="B220" s="37" t="s">
        <v>132</v>
      </c>
    </row>
    <row r="221" spans="1:2" x14ac:dyDescent="0.25">
      <c r="A221" s="39" t="s">
        <v>390</v>
      </c>
      <c r="B221" s="37" t="s">
        <v>132</v>
      </c>
    </row>
    <row r="222" spans="1:2" x14ac:dyDescent="0.25">
      <c r="A222" s="39" t="s">
        <v>391</v>
      </c>
      <c r="B222" s="37" t="s">
        <v>132</v>
      </c>
    </row>
    <row r="223" spans="1:2" x14ac:dyDescent="0.25">
      <c r="A223" s="39" t="s">
        <v>392</v>
      </c>
      <c r="B223" s="37" t="s">
        <v>132</v>
      </c>
    </row>
    <row r="224" spans="1:2" x14ac:dyDescent="0.25">
      <c r="A224" s="39" t="s">
        <v>393</v>
      </c>
      <c r="B224" s="37" t="s">
        <v>132</v>
      </c>
    </row>
    <row r="225" spans="1:2" x14ac:dyDescent="0.25">
      <c r="A225" s="39" t="s">
        <v>394</v>
      </c>
      <c r="B225" s="37" t="s">
        <v>132</v>
      </c>
    </row>
    <row r="226" spans="1:2" x14ac:dyDescent="0.25">
      <c r="A226" s="39" t="s">
        <v>395</v>
      </c>
      <c r="B226" s="37" t="s">
        <v>132</v>
      </c>
    </row>
    <row r="227" spans="1:2" x14ac:dyDescent="0.25">
      <c r="A227" s="39" t="s">
        <v>396</v>
      </c>
      <c r="B227" s="37" t="s">
        <v>132</v>
      </c>
    </row>
    <row r="228" spans="1:2" x14ac:dyDescent="0.25">
      <c r="A228" s="39" t="s">
        <v>397</v>
      </c>
      <c r="B228" s="37" t="s">
        <v>132</v>
      </c>
    </row>
    <row r="229" spans="1:2" x14ac:dyDescent="0.25">
      <c r="A229" s="39" t="s">
        <v>398</v>
      </c>
      <c r="B229" s="37" t="s">
        <v>132</v>
      </c>
    </row>
    <row r="230" spans="1:2" x14ac:dyDescent="0.25">
      <c r="A230" s="39" t="s">
        <v>399</v>
      </c>
      <c r="B230" s="37" t="s">
        <v>132</v>
      </c>
    </row>
    <row r="231" spans="1:2" x14ac:dyDescent="0.25">
      <c r="A231" s="39" t="s">
        <v>400</v>
      </c>
      <c r="B231" s="37" t="s">
        <v>132</v>
      </c>
    </row>
    <row r="232" spans="1:2" x14ac:dyDescent="0.25">
      <c r="A232" s="39" t="s">
        <v>401</v>
      </c>
      <c r="B232" s="37" t="s">
        <v>141</v>
      </c>
    </row>
    <row r="233" spans="1:2" x14ac:dyDescent="0.25">
      <c r="A233" s="39" t="s">
        <v>402</v>
      </c>
      <c r="B233" s="37" t="s">
        <v>132</v>
      </c>
    </row>
    <row r="234" spans="1:2" x14ac:dyDescent="0.25">
      <c r="A234" s="39" t="s">
        <v>403</v>
      </c>
      <c r="B234" s="37" t="s">
        <v>132</v>
      </c>
    </row>
    <row r="235" spans="1:2" x14ac:dyDescent="0.25">
      <c r="A235" s="39" t="s">
        <v>404</v>
      </c>
      <c r="B235" s="37" t="s">
        <v>132</v>
      </c>
    </row>
    <row r="236" spans="1:2" x14ac:dyDescent="0.25">
      <c r="A236" s="39" t="s">
        <v>405</v>
      </c>
      <c r="B236" s="37" t="s">
        <v>141</v>
      </c>
    </row>
    <row r="237" spans="1:2" x14ac:dyDescent="0.25">
      <c r="A237" s="39" t="s">
        <v>406</v>
      </c>
      <c r="B237" s="37" t="s">
        <v>132</v>
      </c>
    </row>
    <row r="238" spans="1:2" x14ac:dyDescent="0.25">
      <c r="A238" s="39" t="s">
        <v>407</v>
      </c>
      <c r="B238" s="37" t="s">
        <v>141</v>
      </c>
    </row>
    <row r="239" spans="1:2" x14ac:dyDescent="0.25">
      <c r="A239" s="39" t="s">
        <v>408</v>
      </c>
      <c r="B239" s="37" t="s">
        <v>141</v>
      </c>
    </row>
    <row r="240" spans="1:2" x14ac:dyDescent="0.25">
      <c r="A240" s="39" t="s">
        <v>409</v>
      </c>
      <c r="B240" s="37" t="s">
        <v>132</v>
      </c>
    </row>
    <row r="241" spans="1:2" x14ac:dyDescent="0.25">
      <c r="A241" s="39" t="s">
        <v>410</v>
      </c>
      <c r="B241" s="37" t="s">
        <v>132</v>
      </c>
    </row>
    <row r="242" spans="1:2" x14ac:dyDescent="0.25">
      <c r="A242" s="39" t="s">
        <v>411</v>
      </c>
      <c r="B242" s="37" t="s">
        <v>132</v>
      </c>
    </row>
    <row r="243" spans="1:2" x14ac:dyDescent="0.25">
      <c r="A243" s="40" t="s">
        <v>415</v>
      </c>
    </row>
  </sheetData>
  <sheetProtection formatColumns="0" formatRows="0"/>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Y84"/>
  <sheetViews>
    <sheetView topLeftCell="B19" zoomScale="80" zoomScaleNormal="80" zoomScaleSheetLayoutView="85" workbookViewId="0">
      <selection activeCell="C50" sqref="C50"/>
    </sheetView>
  </sheetViews>
  <sheetFormatPr defaultColWidth="10.28515625" defaultRowHeight="15" x14ac:dyDescent="0.25"/>
  <cols>
    <col min="1" max="1" width="4.7109375" style="5" customWidth="1"/>
    <col min="2" max="2" width="7.85546875" style="5" customWidth="1"/>
    <col min="3" max="3" width="76.85546875" style="5" bestFit="1" customWidth="1"/>
    <col min="4" max="4" width="38.28515625" style="5" customWidth="1"/>
    <col min="5" max="7" width="13.5703125" style="5" customWidth="1"/>
    <col min="8" max="8" width="47.28515625" style="5" customWidth="1"/>
    <col min="9" max="9" width="35.7109375" style="5" customWidth="1"/>
    <col min="10" max="10" width="7.7109375" style="5" customWidth="1"/>
    <col min="11" max="11" width="9.7109375" style="5" customWidth="1"/>
    <col min="12" max="12" width="45.7109375" style="5" customWidth="1"/>
    <col min="13" max="13" width="35.7109375" style="5" customWidth="1"/>
    <col min="14" max="14" width="3.7109375" style="5" customWidth="1"/>
    <col min="15" max="15" width="9.7109375" style="5" customWidth="1"/>
    <col min="16" max="16" width="45.7109375" style="5" customWidth="1"/>
    <col min="17" max="17" width="35.7109375" style="5" customWidth="1"/>
    <col min="18" max="18" width="3.7109375" style="5" customWidth="1"/>
    <col min="19" max="19" width="9.7109375" style="5" customWidth="1"/>
    <col min="20" max="20" width="45.7109375" style="5" customWidth="1"/>
    <col min="21" max="21" width="35.7109375" style="5" customWidth="1"/>
    <col min="22" max="22" width="3.7109375" style="5" customWidth="1"/>
    <col min="23" max="23" width="9.7109375" style="5" customWidth="1"/>
    <col min="24" max="24" width="45.7109375" style="5" customWidth="1"/>
    <col min="25" max="25" width="35.7109375" style="5" customWidth="1"/>
    <col min="26" max="28" width="23" style="5" customWidth="1"/>
    <col min="29" max="16384" width="10.28515625" style="5"/>
  </cols>
  <sheetData>
    <row r="1" spans="1:25" s="9" customFormat="1" ht="65.099999999999994" customHeight="1" x14ac:dyDescent="0.25">
      <c r="B1" s="80"/>
    </row>
    <row r="2" spans="1:25" s="83" customFormat="1" ht="33.75" customHeight="1" x14ac:dyDescent="0.25">
      <c r="A2" s="81" t="s">
        <v>44</v>
      </c>
      <c r="B2" s="82"/>
    </row>
    <row r="3" spans="1:25" s="84" customFormat="1" ht="20.100000000000001" customHeight="1" x14ac:dyDescent="0.25">
      <c r="A3" s="281" t="str">
        <f>IF(Deal_Name="","",Deal_Name)</f>
        <v/>
      </c>
      <c r="B3" s="281"/>
      <c r="C3" s="281"/>
      <c r="D3" s="281"/>
      <c r="E3" s="281"/>
      <c r="F3" s="281"/>
      <c r="G3" s="281"/>
      <c r="H3" s="281"/>
      <c r="I3" s="281"/>
    </row>
    <row r="4" spans="1:25" s="85" customFormat="1" ht="18" customHeight="1" x14ac:dyDescent="0.25">
      <c r="B4" s="86"/>
      <c r="C4" s="87"/>
      <c r="D4" s="88"/>
    </row>
    <row r="5" spans="1:25" s="85" customFormat="1" ht="7.5" customHeight="1" x14ac:dyDescent="0.25">
      <c r="B5" s="86"/>
      <c r="C5" s="87"/>
      <c r="D5" s="88"/>
      <c r="F5" s="89"/>
    </row>
    <row r="6" spans="1:25" s="9" customFormat="1" ht="15.75" x14ac:dyDescent="0.25">
      <c r="B6" s="90"/>
      <c r="C6" s="91" t="s">
        <v>0</v>
      </c>
      <c r="D6" s="242"/>
      <c r="F6" s="92"/>
      <c r="H6" s="93" t="s">
        <v>414</v>
      </c>
      <c r="I6" s="93" t="s">
        <v>703</v>
      </c>
    </row>
    <row r="7" spans="1:25" s="9" customFormat="1" ht="15.75" x14ac:dyDescent="0.25">
      <c r="B7" s="90"/>
      <c r="C7" s="91" t="s">
        <v>45</v>
      </c>
      <c r="D7" s="204" t="str">
        <f>IF(D57="","",D57)</f>
        <v/>
      </c>
      <c r="F7" s="92"/>
      <c r="H7" s="70" t="str">
        <f>IF(Deal_Number="","",Deal_Number)</f>
        <v/>
      </c>
      <c r="I7" s="70" t="str">
        <f>IF(TCA_Number="","",TCA_Number)</f>
        <v/>
      </c>
    </row>
    <row r="8" spans="1:25" s="9" customFormat="1" ht="18" x14ac:dyDescent="0.25">
      <c r="B8" s="7" t="s">
        <v>1</v>
      </c>
      <c r="F8" s="92"/>
    </row>
    <row r="9" spans="1:25" s="9" customFormat="1" ht="14.25" customHeight="1" x14ac:dyDescent="0.25">
      <c r="B9" s="7"/>
      <c r="C9" s="94"/>
      <c r="F9" s="92"/>
    </row>
    <row r="10" spans="1:25" s="9" customFormat="1" ht="14.25" customHeight="1" x14ac:dyDescent="0.25">
      <c r="B10" s="7"/>
      <c r="C10" s="95" t="s">
        <v>8</v>
      </c>
      <c r="D10" s="68" t="str">
        <f>IF(Deal_Name="","",Deal_Name)</f>
        <v/>
      </c>
      <c r="F10" s="96"/>
      <c r="G10" s="97"/>
      <c r="H10" s="280" t="s">
        <v>412</v>
      </c>
      <c r="I10" s="280"/>
    </row>
    <row r="11" spans="1:25" s="9" customFormat="1" ht="14.25" customHeight="1" x14ac:dyDescent="0.25">
      <c r="B11" s="7"/>
      <c r="C11" s="98" t="s">
        <v>14</v>
      </c>
      <c r="D11" s="67"/>
      <c r="E11" s="5"/>
      <c r="F11" s="99"/>
      <c r="G11" s="97"/>
      <c r="H11" s="280"/>
      <c r="I11" s="280"/>
    </row>
    <row r="12" spans="1:25" s="9" customFormat="1" ht="14.25" customHeight="1" x14ac:dyDescent="0.25">
      <c r="B12" s="7"/>
      <c r="C12" s="100" t="s">
        <v>16</v>
      </c>
      <c r="D12" s="79"/>
      <c r="F12" s="101"/>
      <c r="H12" s="102"/>
      <c r="J12" s="92"/>
      <c r="N12" s="92"/>
      <c r="R12" s="92"/>
    </row>
    <row r="13" spans="1:25" s="9" customFormat="1" ht="14.25" customHeight="1" x14ac:dyDescent="0.25">
      <c r="B13" s="7"/>
      <c r="C13" s="103"/>
      <c r="D13" s="11"/>
      <c r="F13" s="101"/>
      <c r="J13" s="92"/>
      <c r="N13" s="92"/>
      <c r="R13" s="92"/>
    </row>
    <row r="14" spans="1:25" s="9" customFormat="1" ht="14.25" customHeight="1" x14ac:dyDescent="0.25">
      <c r="B14" s="7"/>
      <c r="C14" s="94" t="s">
        <v>2</v>
      </c>
      <c r="F14" s="92"/>
      <c r="G14" s="97"/>
      <c r="H14" s="94" t="s">
        <v>3</v>
      </c>
      <c r="J14" s="92"/>
      <c r="K14" s="104"/>
      <c r="L14" s="94" t="s">
        <v>4</v>
      </c>
      <c r="N14" s="92"/>
      <c r="P14" s="94" t="s">
        <v>5</v>
      </c>
      <c r="R14" s="92"/>
      <c r="T14" s="94" t="s">
        <v>6</v>
      </c>
      <c r="V14" s="92"/>
      <c r="X14" s="94" t="s">
        <v>7</v>
      </c>
    </row>
    <row r="15" spans="1:25" s="9" customFormat="1" ht="14.25" customHeight="1" x14ac:dyDescent="0.25">
      <c r="B15" s="7"/>
      <c r="C15" s="5"/>
      <c r="D15" s="41"/>
      <c r="F15" s="101"/>
      <c r="I15" s="105"/>
      <c r="J15" s="99"/>
      <c r="K15" s="104"/>
      <c r="M15" s="105"/>
      <c r="N15" s="99"/>
      <c r="Q15" s="105"/>
      <c r="R15" s="99"/>
      <c r="U15" s="105"/>
      <c r="V15" s="92"/>
      <c r="Y15" s="105"/>
    </row>
    <row r="16" spans="1:25" s="9" customFormat="1" ht="14.25" customHeight="1" x14ac:dyDescent="0.25">
      <c r="B16" s="7"/>
      <c r="C16" s="5" t="s">
        <v>9</v>
      </c>
      <c r="D16" s="194"/>
      <c r="F16" s="101"/>
      <c r="H16" s="5" t="s">
        <v>9</v>
      </c>
      <c r="I16" s="200"/>
      <c r="J16" s="99"/>
      <c r="K16" s="106"/>
      <c r="L16" s="5" t="s">
        <v>9</v>
      </c>
      <c r="M16" s="200"/>
      <c r="N16" s="99"/>
      <c r="P16" s="5" t="s">
        <v>9</v>
      </c>
      <c r="Q16" s="200"/>
      <c r="R16" s="99"/>
      <c r="T16" s="5" t="s">
        <v>9</v>
      </c>
      <c r="U16" s="200"/>
      <c r="V16" s="99"/>
      <c r="W16" s="5"/>
      <c r="X16" s="5" t="s">
        <v>9</v>
      </c>
      <c r="Y16" s="200"/>
    </row>
    <row r="17" spans="2:25" s="9" customFormat="1" ht="14.25" customHeight="1" x14ac:dyDescent="0.25">
      <c r="B17" s="7"/>
      <c r="C17" s="5" t="s">
        <v>10</v>
      </c>
      <c r="D17" s="195"/>
      <c r="F17" s="92"/>
      <c r="G17" s="107"/>
      <c r="H17" s="5" t="s">
        <v>10</v>
      </c>
      <c r="I17" s="195"/>
      <c r="J17" s="108"/>
      <c r="K17" s="104"/>
      <c r="L17" s="5" t="s">
        <v>10</v>
      </c>
      <c r="M17" s="195"/>
      <c r="N17" s="108"/>
      <c r="P17" s="5" t="s">
        <v>10</v>
      </c>
      <c r="Q17" s="195"/>
      <c r="R17" s="108"/>
      <c r="T17" s="5" t="s">
        <v>10</v>
      </c>
      <c r="U17" s="195"/>
      <c r="V17" s="99"/>
      <c r="X17" s="5" t="s">
        <v>10</v>
      </c>
      <c r="Y17" s="195"/>
    </row>
    <row r="18" spans="2:25" s="9" customFormat="1" ht="14.25" customHeight="1" x14ac:dyDescent="0.25">
      <c r="B18" s="7"/>
      <c r="C18" s="109" t="s">
        <v>11</v>
      </c>
      <c r="D18" s="196"/>
      <c r="F18" s="92"/>
      <c r="H18" s="109" t="s">
        <v>11</v>
      </c>
      <c r="I18" s="201"/>
      <c r="J18" s="110"/>
      <c r="K18" s="104"/>
      <c r="L18" s="109" t="s">
        <v>11</v>
      </c>
      <c r="M18" s="201"/>
      <c r="N18" s="110"/>
      <c r="P18" s="109" t="s">
        <v>11</v>
      </c>
      <c r="Q18" s="201"/>
      <c r="R18" s="110"/>
      <c r="T18" s="109" t="s">
        <v>11</v>
      </c>
      <c r="U18" s="201"/>
      <c r="V18" s="108"/>
      <c r="X18" s="109" t="s">
        <v>11</v>
      </c>
      <c r="Y18" s="201"/>
    </row>
    <row r="19" spans="2:25" s="9" customFormat="1" ht="14.25" customHeight="1" x14ac:dyDescent="0.25">
      <c r="B19" s="7"/>
      <c r="C19" s="111" t="s">
        <v>12</v>
      </c>
      <c r="D19" s="197"/>
      <c r="F19" s="92"/>
      <c r="H19" s="111" t="s">
        <v>12</v>
      </c>
      <c r="I19" s="201"/>
      <c r="J19" s="110"/>
      <c r="K19" s="104"/>
      <c r="L19" s="111" t="s">
        <v>12</v>
      </c>
      <c r="M19" s="201"/>
      <c r="N19" s="110"/>
      <c r="P19" s="111" t="s">
        <v>12</v>
      </c>
      <c r="Q19" s="201"/>
      <c r="R19" s="110"/>
      <c r="T19" s="111" t="s">
        <v>12</v>
      </c>
      <c r="U19" s="201"/>
      <c r="V19" s="110"/>
      <c r="X19" s="111" t="s">
        <v>12</v>
      </c>
      <c r="Y19" s="201"/>
    </row>
    <row r="20" spans="2:25" s="9" customFormat="1" ht="14.25" customHeight="1" x14ac:dyDescent="0.25">
      <c r="B20" s="7"/>
      <c r="C20" s="111" t="s">
        <v>13</v>
      </c>
      <c r="D20" s="197"/>
      <c r="F20" s="99"/>
      <c r="H20" s="111" t="s">
        <v>13</v>
      </c>
      <c r="I20" s="202"/>
      <c r="J20" s="99"/>
      <c r="K20" s="104"/>
      <c r="L20" s="111" t="s">
        <v>13</v>
      </c>
      <c r="M20" s="202"/>
      <c r="N20" s="99"/>
      <c r="P20" s="111" t="s">
        <v>13</v>
      </c>
      <c r="Q20" s="202"/>
      <c r="R20" s="99"/>
      <c r="T20" s="111" t="s">
        <v>13</v>
      </c>
      <c r="U20" s="202"/>
      <c r="V20" s="110"/>
      <c r="X20" s="111" t="s">
        <v>13</v>
      </c>
      <c r="Y20" s="202"/>
    </row>
    <row r="21" spans="2:25" s="9" customFormat="1" ht="14.25" customHeight="1" x14ac:dyDescent="0.25">
      <c r="B21" s="7"/>
      <c r="C21" s="5" t="s">
        <v>15</v>
      </c>
      <c r="D21" s="198"/>
      <c r="F21" s="101"/>
      <c r="H21" s="5" t="s">
        <v>15</v>
      </c>
      <c r="I21" s="198"/>
      <c r="J21" s="108"/>
      <c r="K21" s="104"/>
      <c r="L21" s="5" t="s">
        <v>15</v>
      </c>
      <c r="M21" s="198"/>
      <c r="N21" s="108"/>
      <c r="P21" s="5" t="s">
        <v>15</v>
      </c>
      <c r="Q21" s="198"/>
      <c r="R21" s="108"/>
      <c r="T21" s="5" t="s">
        <v>15</v>
      </c>
      <c r="U21" s="198"/>
      <c r="V21" s="99"/>
      <c r="X21" s="5" t="s">
        <v>15</v>
      </c>
      <c r="Y21" s="198"/>
    </row>
    <row r="22" spans="2:25" s="9" customFormat="1" ht="14.25" customHeight="1" x14ac:dyDescent="0.25">
      <c r="B22" s="7"/>
      <c r="C22" s="2" t="s">
        <v>17</v>
      </c>
      <c r="D22" s="199"/>
      <c r="F22" s="96"/>
      <c r="H22" s="2" t="s">
        <v>17</v>
      </c>
      <c r="I22" s="203"/>
      <c r="J22" s="112"/>
      <c r="K22" s="104"/>
      <c r="L22" s="2" t="s">
        <v>17</v>
      </c>
      <c r="M22" s="203"/>
      <c r="N22" s="112"/>
      <c r="P22" s="2" t="s">
        <v>17</v>
      </c>
      <c r="Q22" s="203"/>
      <c r="R22" s="112"/>
      <c r="T22" s="2" t="s">
        <v>17</v>
      </c>
      <c r="U22" s="203"/>
      <c r="V22" s="108"/>
      <c r="X22" s="2" t="s">
        <v>17</v>
      </c>
      <c r="Y22" s="203"/>
    </row>
    <row r="23" spans="2:25" s="9" customFormat="1" ht="14.25" customHeight="1" x14ac:dyDescent="0.25">
      <c r="B23" s="7"/>
      <c r="C23" s="2" t="s">
        <v>19</v>
      </c>
      <c r="D23" s="199"/>
      <c r="F23" s="92"/>
      <c r="H23" s="2" t="s">
        <v>19</v>
      </c>
      <c r="I23" s="203"/>
      <c r="J23" s="112"/>
      <c r="K23" s="104"/>
      <c r="L23" s="2" t="s">
        <v>19</v>
      </c>
      <c r="M23" s="203"/>
      <c r="N23" s="112"/>
      <c r="P23" s="2" t="s">
        <v>19</v>
      </c>
      <c r="Q23" s="203"/>
      <c r="R23" s="112"/>
      <c r="T23" s="2" t="s">
        <v>19</v>
      </c>
      <c r="U23" s="203"/>
      <c r="V23" s="112"/>
      <c r="X23" s="2" t="s">
        <v>19</v>
      </c>
      <c r="Y23" s="203"/>
    </row>
    <row r="24" spans="2:25" s="9" customFormat="1" ht="14.25" customHeight="1" x14ac:dyDescent="0.25">
      <c r="B24" s="7"/>
      <c r="C24" s="2" t="s">
        <v>20</v>
      </c>
      <c r="D24" s="195"/>
      <c r="E24" s="113"/>
      <c r="F24" s="96"/>
      <c r="H24" s="2" t="s">
        <v>20</v>
      </c>
      <c r="I24" s="232"/>
      <c r="J24" s="99"/>
      <c r="K24" s="104"/>
      <c r="L24" s="2" t="s">
        <v>20</v>
      </c>
      <c r="M24" s="232"/>
      <c r="N24" s="99"/>
      <c r="P24" s="2" t="s">
        <v>20</v>
      </c>
      <c r="Q24" s="232"/>
      <c r="R24" s="99"/>
      <c r="T24" s="2" t="s">
        <v>20</v>
      </c>
      <c r="U24" s="232"/>
      <c r="V24" s="112"/>
      <c r="X24" s="2" t="s">
        <v>20</v>
      </c>
      <c r="Y24" s="232"/>
    </row>
    <row r="25" spans="2:25" s="9" customFormat="1" ht="14.25" customHeight="1" x14ac:dyDescent="0.25">
      <c r="B25" s="7"/>
      <c r="C25" s="2" t="s">
        <v>21</v>
      </c>
      <c r="D25" s="195"/>
      <c r="F25" s="96"/>
      <c r="H25" s="2" t="s">
        <v>21</v>
      </c>
      <c r="I25" s="232"/>
      <c r="J25" s="99"/>
      <c r="K25" s="104"/>
      <c r="L25" s="2" t="s">
        <v>21</v>
      </c>
      <c r="M25" s="232"/>
      <c r="N25" s="99"/>
      <c r="P25" s="2" t="s">
        <v>21</v>
      </c>
      <c r="Q25" s="232"/>
      <c r="R25" s="99"/>
      <c r="T25" s="2" t="s">
        <v>21</v>
      </c>
      <c r="U25" s="232"/>
      <c r="V25" s="99"/>
      <c r="X25" s="2" t="s">
        <v>21</v>
      </c>
      <c r="Y25" s="232"/>
    </row>
    <row r="26" spans="2:25" s="9" customFormat="1" ht="14.25" customHeight="1" x14ac:dyDescent="0.25">
      <c r="B26" s="7"/>
      <c r="C26" s="2" t="s">
        <v>22</v>
      </c>
      <c r="D26" s="195"/>
      <c r="E26" s="113"/>
      <c r="F26" s="96"/>
      <c r="H26" s="2" t="s">
        <v>22</v>
      </c>
      <c r="I26" s="232"/>
      <c r="J26" s="99"/>
      <c r="K26" s="104"/>
      <c r="L26" s="2" t="s">
        <v>22</v>
      </c>
      <c r="M26" s="232"/>
      <c r="N26" s="99"/>
      <c r="P26" s="2" t="s">
        <v>22</v>
      </c>
      <c r="Q26" s="232"/>
      <c r="R26" s="99"/>
      <c r="T26" s="2" t="s">
        <v>22</v>
      </c>
      <c r="U26" s="232"/>
      <c r="V26" s="99"/>
      <c r="X26" s="2" t="s">
        <v>22</v>
      </c>
      <c r="Y26" s="232"/>
    </row>
    <row r="27" spans="2:25" s="9" customFormat="1" ht="14.25" customHeight="1" x14ac:dyDescent="0.25">
      <c r="B27" s="7"/>
      <c r="C27" s="111" t="s">
        <v>23</v>
      </c>
      <c r="D27" s="197"/>
      <c r="F27" s="92"/>
      <c r="H27" s="111" t="s">
        <v>23</v>
      </c>
      <c r="I27" s="202"/>
      <c r="J27" s="99"/>
      <c r="K27" s="104"/>
      <c r="L27" s="111" t="s">
        <v>23</v>
      </c>
      <c r="M27" s="202"/>
      <c r="N27" s="99"/>
      <c r="P27" s="111" t="s">
        <v>23</v>
      </c>
      <c r="Q27" s="202"/>
      <c r="R27" s="99"/>
      <c r="T27" s="111" t="s">
        <v>23</v>
      </c>
      <c r="U27" s="202"/>
      <c r="V27" s="99"/>
      <c r="X27" s="111" t="s">
        <v>23</v>
      </c>
      <c r="Y27" s="202"/>
    </row>
    <row r="28" spans="2:25" ht="18" x14ac:dyDescent="0.25">
      <c r="B28" s="7"/>
      <c r="C28" s="114" t="s">
        <v>679</v>
      </c>
      <c r="D28" s="204" t="str">
        <f>IFERROR(IF($D$17&lt;&gt;"",VLOOKUP($D$17,'Data - Regions'!$A$1:$B$242,2,FALSE),"Non-Urban"),"[Please Select or Enter Jurisdiction Name]")</f>
        <v>Non-Urban</v>
      </c>
      <c r="E28" s="115"/>
      <c r="F28" s="92"/>
      <c r="H28" s="100" t="s">
        <v>679</v>
      </c>
      <c r="I28" s="205" t="str">
        <f>IFERROR(IF($I$17&lt;&gt;"",VLOOKUP($I$17,'Data - Regions'!$A$1:$B$242,2,FALSE),"Non-Urban"),"[Please Select or Enter Jurisdiction Name]")</f>
        <v>Non-Urban</v>
      </c>
      <c r="J28" s="42"/>
      <c r="K28" s="104"/>
      <c r="L28" s="100" t="s">
        <v>679</v>
      </c>
      <c r="M28" s="205" t="str">
        <f>IFERROR(IF($M$17&lt;&gt;"",VLOOKUP($M$17,'Data - Regions'!$A$1:$B$242,2,FALSE),"Non-Urban"),"[Please Select or Enter Jurisdiction Name]")</f>
        <v>Non-Urban</v>
      </c>
      <c r="N28" s="42"/>
      <c r="O28" s="9"/>
      <c r="P28" s="100" t="s">
        <v>679</v>
      </c>
      <c r="Q28" s="205" t="str">
        <f>IFERROR(IF($Q$17&lt;&gt;"",VLOOKUP($Q$17,'Data - Regions'!$A$1:$B$242,2,FALSE),"Non-Urban"),"[Please Select or Enter Jurisdiction Name]")</f>
        <v>Non-Urban</v>
      </c>
      <c r="R28" s="42"/>
      <c r="S28" s="9"/>
      <c r="T28" s="100" t="s">
        <v>679</v>
      </c>
      <c r="U28" s="205" t="str">
        <f>IFERROR(IF($U$17&lt;&gt;"",VLOOKUP($U$17,'Data - Regions'!$A$1:$B$242,2,FALSE),"Non-Urban"),"[Please Select or Enter Jurisdiction Name]")</f>
        <v>Non-Urban</v>
      </c>
      <c r="V28" s="99"/>
      <c r="W28" s="9"/>
      <c r="X28" s="100" t="s">
        <v>679</v>
      </c>
      <c r="Y28" s="205" t="str">
        <f>IFERROR(IF($Y$17&lt;&gt;"",VLOOKUP($Y$17,'Data - Regions'!$A$1:$B$242,2,FALSE),"Non-Urban"),"[Please Select or Enter Jurisdiction Name]")</f>
        <v>Non-Urban</v>
      </c>
    </row>
    <row r="29" spans="2:25" x14ac:dyDescent="0.25">
      <c r="C29" s="100" t="s">
        <v>18</v>
      </c>
      <c r="D29" s="195"/>
      <c r="E29" s="115"/>
      <c r="F29" s="92"/>
      <c r="H29" s="100" t="s">
        <v>18</v>
      </c>
      <c r="I29" s="195"/>
      <c r="J29" s="108"/>
      <c r="K29" s="104"/>
      <c r="L29" s="100" t="s">
        <v>18</v>
      </c>
      <c r="M29" s="195"/>
      <c r="N29" s="108"/>
      <c r="O29" s="9"/>
      <c r="P29" s="100" t="s">
        <v>18</v>
      </c>
      <c r="Q29" s="195"/>
      <c r="R29" s="108"/>
      <c r="S29" s="9"/>
      <c r="T29" s="100" t="s">
        <v>18</v>
      </c>
      <c r="U29" s="195"/>
      <c r="V29" s="42"/>
      <c r="W29" s="9"/>
      <c r="X29" s="100" t="s">
        <v>18</v>
      </c>
      <c r="Y29" s="195"/>
    </row>
    <row r="30" spans="2:25" ht="9" customHeight="1" x14ac:dyDescent="0.25">
      <c r="B30" s="7"/>
      <c r="C30" s="111"/>
      <c r="D30" s="41"/>
      <c r="E30" s="115"/>
      <c r="F30" s="92"/>
      <c r="H30" s="9"/>
      <c r="I30" s="9"/>
      <c r="J30" s="92"/>
      <c r="K30" s="9"/>
      <c r="L30" s="116"/>
      <c r="M30" s="9"/>
      <c r="N30" s="92"/>
      <c r="O30" s="9"/>
      <c r="P30" s="9"/>
      <c r="Q30" s="9"/>
      <c r="R30" s="92"/>
      <c r="S30" s="9"/>
      <c r="T30" s="9"/>
      <c r="U30" s="9"/>
      <c r="V30" s="108"/>
      <c r="W30" s="9"/>
      <c r="X30" s="9"/>
      <c r="Y30" s="9"/>
    </row>
    <row r="31" spans="2:25" ht="18" x14ac:dyDescent="0.25">
      <c r="B31" s="7" t="s">
        <v>85</v>
      </c>
      <c r="C31" s="115"/>
      <c r="D31" s="41"/>
      <c r="E31" s="115"/>
      <c r="F31" s="92"/>
      <c r="J31" s="92"/>
      <c r="N31" s="92"/>
      <c r="R31" s="92"/>
      <c r="V31" s="92"/>
    </row>
    <row r="32" spans="2:25" x14ac:dyDescent="0.25">
      <c r="C32" s="115"/>
      <c r="D32" s="41"/>
      <c r="F32" s="92"/>
      <c r="J32" s="92"/>
      <c r="N32" s="92"/>
      <c r="R32" s="92"/>
      <c r="V32" s="92"/>
    </row>
    <row r="33" spans="2:25" ht="15" customHeight="1" x14ac:dyDescent="0.25">
      <c r="C33" s="117" t="s">
        <v>83</v>
      </c>
      <c r="D33" s="68"/>
      <c r="E33" s="118"/>
      <c r="F33" s="119"/>
      <c r="G33" s="118"/>
      <c r="H33" s="117" t="s">
        <v>83</v>
      </c>
      <c r="I33" s="68"/>
      <c r="J33" s="92"/>
      <c r="L33" s="117" t="s">
        <v>83</v>
      </c>
      <c r="M33" s="68"/>
      <c r="N33" s="92"/>
      <c r="P33" s="117" t="s">
        <v>83</v>
      </c>
      <c r="Q33" s="68"/>
      <c r="R33" s="92"/>
      <c r="T33" s="117" t="s">
        <v>83</v>
      </c>
      <c r="U33" s="68"/>
      <c r="V33" s="92"/>
      <c r="X33" s="117" t="s">
        <v>83</v>
      </c>
      <c r="Y33" s="68"/>
    </row>
    <row r="34" spans="2:25" x14ac:dyDescent="0.25">
      <c r="C34" s="117" t="s">
        <v>84</v>
      </c>
      <c r="D34" s="68"/>
      <c r="E34" s="118"/>
      <c r="F34" s="119"/>
      <c r="G34" s="118"/>
      <c r="H34" s="117" t="s">
        <v>84</v>
      </c>
      <c r="I34" s="68"/>
      <c r="J34" s="92"/>
      <c r="L34" s="117" t="s">
        <v>84</v>
      </c>
      <c r="M34" s="68"/>
      <c r="N34" s="92"/>
      <c r="P34" s="117" t="s">
        <v>84</v>
      </c>
      <c r="Q34" s="68"/>
      <c r="R34" s="92"/>
      <c r="T34" s="117" t="s">
        <v>84</v>
      </c>
      <c r="U34" s="68"/>
      <c r="V34" s="92"/>
      <c r="X34" s="117" t="s">
        <v>84</v>
      </c>
      <c r="Y34" s="68"/>
    </row>
    <row r="35" spans="2:25" x14ac:dyDescent="0.25">
      <c r="C35" s="117" t="s">
        <v>96</v>
      </c>
      <c r="D35" s="69"/>
      <c r="E35" s="118"/>
      <c r="F35" s="119"/>
      <c r="G35" s="118"/>
      <c r="H35" s="117" t="s">
        <v>96</v>
      </c>
      <c r="I35" s="69"/>
      <c r="J35" s="92"/>
      <c r="L35" s="117" t="s">
        <v>96</v>
      </c>
      <c r="M35" s="69"/>
      <c r="N35" s="92"/>
      <c r="P35" s="117" t="s">
        <v>96</v>
      </c>
      <c r="Q35" s="69"/>
      <c r="R35" s="92"/>
      <c r="T35" s="117" t="s">
        <v>96</v>
      </c>
      <c r="U35" s="69"/>
      <c r="V35" s="92"/>
      <c r="X35" s="117" t="s">
        <v>96</v>
      </c>
      <c r="Y35" s="69"/>
    </row>
    <row r="36" spans="2:25" x14ac:dyDescent="0.25">
      <c r="C36" s="117" t="s">
        <v>86</v>
      </c>
      <c r="D36" s="69"/>
      <c r="E36" s="120"/>
      <c r="F36" s="121"/>
      <c r="G36" s="118"/>
      <c r="J36" s="92"/>
      <c r="N36" s="92"/>
      <c r="R36" s="92"/>
      <c r="V36" s="92"/>
    </row>
    <row r="37" spans="2:25" x14ac:dyDescent="0.25">
      <c r="C37" s="122"/>
      <c r="D37" s="41"/>
      <c r="E37" s="123"/>
      <c r="F37" s="121"/>
      <c r="G37" s="118"/>
    </row>
    <row r="38" spans="2:25" x14ac:dyDescent="0.25">
      <c r="C38" s="122"/>
      <c r="D38" s="41"/>
      <c r="E38" s="123"/>
      <c r="F38" s="121"/>
      <c r="G38" s="118"/>
      <c r="H38" s="124"/>
      <c r="I38" s="124"/>
      <c r="J38" s="124"/>
      <c r="K38" s="124"/>
      <c r="L38" s="124"/>
      <c r="M38" s="124"/>
      <c r="N38" s="124"/>
      <c r="O38" s="124"/>
      <c r="P38" s="124"/>
      <c r="Q38" s="124"/>
      <c r="R38" s="124"/>
      <c r="S38" s="124"/>
      <c r="T38" s="124"/>
      <c r="U38" s="124"/>
      <c r="V38" s="124"/>
      <c r="W38" s="124"/>
      <c r="X38" s="124"/>
      <c r="Y38" s="124"/>
    </row>
    <row r="39" spans="2:25" x14ac:dyDescent="0.25">
      <c r="B39" s="102"/>
      <c r="C39" s="102"/>
      <c r="D39" s="102"/>
      <c r="E39" s="125"/>
      <c r="F39" s="9"/>
      <c r="G39" s="9"/>
      <c r="H39" s="9"/>
      <c r="I39" s="9"/>
      <c r="J39" s="9"/>
      <c r="K39" s="9"/>
      <c r="L39" s="9"/>
      <c r="M39" s="9"/>
      <c r="N39" s="9"/>
      <c r="O39" s="9"/>
      <c r="P39" s="9"/>
      <c r="Q39" s="9"/>
      <c r="R39" s="9"/>
      <c r="S39" s="9"/>
      <c r="T39" s="9"/>
      <c r="U39" s="9"/>
      <c r="V39" s="9"/>
      <c r="W39" s="9"/>
      <c r="X39" s="9"/>
      <c r="Y39" s="9"/>
    </row>
    <row r="40" spans="2:25" ht="18" x14ac:dyDescent="0.25">
      <c r="B40" s="7" t="s">
        <v>31</v>
      </c>
      <c r="D40" s="168"/>
      <c r="K40" s="9"/>
      <c r="L40" s="9"/>
      <c r="M40" s="9"/>
      <c r="N40" s="9"/>
      <c r="O40" s="9"/>
      <c r="P40" s="9"/>
      <c r="Q40" s="9"/>
      <c r="R40" s="9"/>
      <c r="S40" s="9"/>
      <c r="T40" s="9"/>
      <c r="U40" s="9"/>
      <c r="V40" s="9"/>
      <c r="W40" s="9"/>
      <c r="X40" s="9"/>
      <c r="Y40" s="9"/>
    </row>
    <row r="41" spans="2:25" x14ac:dyDescent="0.25">
      <c r="C41" s="169"/>
      <c r="D41" s="77"/>
      <c r="E41" s="77"/>
      <c r="F41" s="77"/>
      <c r="G41" s="77"/>
      <c r="H41" s="170"/>
      <c r="K41" s="9"/>
      <c r="L41" s="9"/>
      <c r="M41" s="9"/>
      <c r="N41" s="9"/>
      <c r="O41" s="9"/>
      <c r="P41" s="9"/>
      <c r="Q41" s="9"/>
      <c r="R41" s="9"/>
      <c r="S41" s="9"/>
      <c r="T41" s="9"/>
      <c r="U41" s="9"/>
      <c r="V41" s="9"/>
      <c r="W41" s="9"/>
      <c r="X41" s="9"/>
      <c r="Y41" s="9"/>
    </row>
    <row r="42" spans="2:25" x14ac:dyDescent="0.25">
      <c r="C42" s="171"/>
      <c r="D42" s="172" t="s">
        <v>453</v>
      </c>
      <c r="E42" s="172" t="s">
        <v>454</v>
      </c>
      <c r="F42" s="172" t="s">
        <v>32</v>
      </c>
      <c r="G42" s="172" t="s">
        <v>33</v>
      </c>
      <c r="H42" s="172" t="s">
        <v>34</v>
      </c>
      <c r="I42" s="172" t="s">
        <v>35</v>
      </c>
      <c r="K42" s="9"/>
      <c r="L42" s="9"/>
      <c r="M42" s="9"/>
      <c r="N42" s="9"/>
      <c r="O42" s="9"/>
      <c r="P42" s="9"/>
      <c r="Q42" s="9"/>
      <c r="R42" s="9"/>
      <c r="S42" s="9"/>
      <c r="T42" s="9"/>
      <c r="U42" s="9"/>
      <c r="V42" s="9"/>
      <c r="W42" s="9"/>
      <c r="X42" s="9"/>
      <c r="Y42" s="9"/>
    </row>
    <row r="43" spans="2:25" x14ac:dyDescent="0.25">
      <c r="C43" s="173" t="s">
        <v>36</v>
      </c>
      <c r="D43" s="55"/>
      <c r="E43" s="55"/>
      <c r="F43" s="55"/>
      <c r="G43" s="55"/>
      <c r="H43" s="55"/>
      <c r="I43" s="55"/>
      <c r="J43" s="174">
        <f>SUM(D43:I43)</f>
        <v>0</v>
      </c>
      <c r="K43" s="9"/>
      <c r="L43" s="9"/>
      <c r="M43" s="9"/>
      <c r="N43" s="9"/>
      <c r="O43" s="9"/>
      <c r="P43" s="9"/>
      <c r="Q43" s="9"/>
      <c r="R43" s="9"/>
      <c r="S43" s="9"/>
      <c r="T43" s="9"/>
      <c r="U43" s="9"/>
      <c r="V43" s="9"/>
      <c r="W43" s="9"/>
      <c r="X43" s="9"/>
      <c r="Y43" s="9"/>
    </row>
    <row r="44" spans="2:25" x14ac:dyDescent="0.25">
      <c r="C44" s="173" t="s">
        <v>37</v>
      </c>
      <c r="D44" s="55"/>
      <c r="E44" s="55"/>
      <c r="F44" s="55"/>
      <c r="G44" s="55"/>
      <c r="H44" s="55"/>
      <c r="I44" s="55"/>
      <c r="J44" s="174">
        <f t="shared" ref="J44:J48" si="0">SUM(D44:I44)</f>
        <v>0</v>
      </c>
      <c r="K44" s="9"/>
      <c r="L44" s="9"/>
      <c r="M44" s="9"/>
      <c r="N44" s="9"/>
      <c r="O44" s="9"/>
      <c r="P44" s="9"/>
      <c r="Q44" s="9"/>
      <c r="R44" s="9"/>
      <c r="S44" s="9"/>
      <c r="T44" s="9"/>
      <c r="U44" s="9"/>
      <c r="V44" s="9"/>
      <c r="W44" s="9"/>
      <c r="X44" s="9"/>
      <c r="Y44" s="9"/>
    </row>
    <row r="45" spans="2:25" x14ac:dyDescent="0.25">
      <c r="C45" s="173" t="s">
        <v>38</v>
      </c>
      <c r="D45" s="55"/>
      <c r="E45" s="55"/>
      <c r="F45" s="55"/>
      <c r="G45" s="55"/>
      <c r="H45" s="55"/>
      <c r="I45" s="55"/>
      <c r="J45" s="174">
        <f t="shared" si="0"/>
        <v>0</v>
      </c>
      <c r="K45" s="9"/>
      <c r="L45" s="9"/>
      <c r="M45" s="9"/>
      <c r="N45" s="9"/>
      <c r="O45" s="9"/>
      <c r="P45" s="9"/>
      <c r="Q45" s="9"/>
      <c r="R45" s="9"/>
      <c r="S45" s="9"/>
      <c r="T45" s="9"/>
      <c r="U45" s="9"/>
      <c r="V45" s="9"/>
      <c r="W45" s="9"/>
      <c r="X45" s="9"/>
      <c r="Y45" s="9"/>
    </row>
    <row r="46" spans="2:25" x14ac:dyDescent="0.25">
      <c r="C46" s="173" t="s">
        <v>39</v>
      </c>
      <c r="D46" s="55"/>
      <c r="E46" s="55"/>
      <c r="F46" s="55"/>
      <c r="G46" s="55"/>
      <c r="H46" s="55"/>
      <c r="I46" s="55"/>
      <c r="J46" s="174">
        <f t="shared" si="0"/>
        <v>0</v>
      </c>
      <c r="K46" s="9"/>
      <c r="L46" s="9"/>
      <c r="M46" s="9"/>
      <c r="N46" s="9"/>
      <c r="O46" s="9"/>
      <c r="P46" s="9"/>
      <c r="Q46" s="9"/>
      <c r="R46" s="9"/>
      <c r="S46" s="9"/>
      <c r="T46" s="9"/>
      <c r="U46" s="9"/>
      <c r="V46" s="9"/>
      <c r="W46" s="9"/>
      <c r="X46" s="9"/>
      <c r="Y46" s="9"/>
    </row>
    <row r="47" spans="2:25" x14ac:dyDescent="0.25">
      <c r="C47" s="173" t="s">
        <v>817</v>
      </c>
      <c r="D47" s="55"/>
      <c r="E47" s="55"/>
      <c r="F47" s="55"/>
      <c r="G47" s="55"/>
      <c r="H47" s="55"/>
      <c r="I47" s="55"/>
      <c r="J47" s="174">
        <f t="shared" si="0"/>
        <v>0</v>
      </c>
      <c r="K47" s="9"/>
      <c r="L47" s="9"/>
      <c r="M47" s="9"/>
      <c r="N47" s="9"/>
      <c r="O47" s="9"/>
      <c r="P47" s="9"/>
      <c r="Q47" s="9"/>
      <c r="R47" s="9"/>
      <c r="S47" s="9"/>
      <c r="T47" s="9"/>
      <c r="U47" s="9"/>
      <c r="V47" s="9"/>
      <c r="W47" s="9"/>
      <c r="X47" s="9"/>
      <c r="Y47" s="9"/>
    </row>
    <row r="48" spans="2:25" x14ac:dyDescent="0.25">
      <c r="C48" s="175" t="s">
        <v>77</v>
      </c>
      <c r="D48" s="174">
        <f t="shared" ref="D48:I48" si="1">SUM(D43:D47)</f>
        <v>0</v>
      </c>
      <c r="E48" s="174">
        <f t="shared" si="1"/>
        <v>0</v>
      </c>
      <c r="F48" s="174">
        <f t="shared" si="1"/>
        <v>0</v>
      </c>
      <c r="G48" s="174">
        <f t="shared" si="1"/>
        <v>0</v>
      </c>
      <c r="H48" s="174">
        <f t="shared" si="1"/>
        <v>0</v>
      </c>
      <c r="I48" s="174">
        <f t="shared" si="1"/>
        <v>0</v>
      </c>
      <c r="J48" s="174">
        <f t="shared" si="0"/>
        <v>0</v>
      </c>
      <c r="K48" s="266"/>
      <c r="L48" s="9"/>
      <c r="M48" s="9"/>
      <c r="N48" s="9"/>
      <c r="O48" s="9"/>
      <c r="P48" s="9"/>
      <c r="Q48" s="9"/>
      <c r="R48" s="9"/>
      <c r="S48" s="9"/>
      <c r="T48" s="9"/>
      <c r="U48" s="9"/>
      <c r="V48" s="9"/>
      <c r="W48" s="9"/>
      <c r="X48" s="9"/>
      <c r="Y48" s="9"/>
    </row>
    <row r="49" spans="2:25" x14ac:dyDescent="0.25">
      <c r="C49" s="176"/>
      <c r="D49" s="240"/>
      <c r="E49" s="240"/>
      <c r="F49" s="240"/>
      <c r="G49" s="240"/>
      <c r="H49" s="240"/>
      <c r="I49" s="240"/>
      <c r="K49" s="9"/>
      <c r="L49" s="9"/>
      <c r="M49" s="9"/>
      <c r="N49" s="9"/>
      <c r="O49" s="9"/>
      <c r="P49" s="9"/>
      <c r="Q49" s="9"/>
      <c r="R49" s="9"/>
      <c r="S49" s="9"/>
      <c r="T49" s="9"/>
      <c r="U49" s="9"/>
      <c r="V49" s="9"/>
      <c r="W49" s="9"/>
      <c r="X49" s="9"/>
      <c r="Y49" s="9"/>
    </row>
    <row r="50" spans="2:25" x14ac:dyDescent="0.25">
      <c r="C50" s="100" t="s">
        <v>678</v>
      </c>
      <c r="D50" s="54"/>
      <c r="E50" s="240"/>
      <c r="F50" s="240"/>
      <c r="G50" s="240"/>
      <c r="H50" s="240"/>
      <c r="I50" s="240"/>
      <c r="K50" s="9"/>
      <c r="L50" s="9"/>
      <c r="M50" s="9"/>
      <c r="N50" s="9"/>
      <c r="O50" s="9"/>
      <c r="P50" s="9"/>
      <c r="Q50" s="9"/>
      <c r="R50" s="9"/>
      <c r="S50" s="9"/>
      <c r="T50" s="9"/>
      <c r="U50" s="9"/>
      <c r="V50" s="9"/>
      <c r="W50" s="9"/>
      <c r="X50" s="9"/>
      <c r="Y50" s="9"/>
    </row>
    <row r="51" spans="2:25" x14ac:dyDescent="0.25">
      <c r="B51" s="9"/>
      <c r="C51" s="9"/>
      <c r="D51" s="9"/>
      <c r="E51" s="221"/>
      <c r="F51" s="9"/>
      <c r="G51" s="9"/>
      <c r="H51" s="9"/>
      <c r="I51" s="9"/>
      <c r="J51" s="9"/>
      <c r="K51" s="9"/>
      <c r="L51" s="9"/>
      <c r="M51" s="9"/>
      <c r="N51" s="9"/>
      <c r="O51" s="9"/>
      <c r="P51" s="9"/>
      <c r="Q51" s="9"/>
      <c r="R51" s="9"/>
      <c r="S51" s="9"/>
      <c r="T51" s="9"/>
      <c r="U51" s="9"/>
      <c r="V51" s="9"/>
      <c r="W51" s="9"/>
      <c r="X51" s="9"/>
      <c r="Y51" s="9"/>
    </row>
    <row r="52" spans="2:25" x14ac:dyDescent="0.25">
      <c r="C52" s="122"/>
      <c r="D52" s="41"/>
      <c r="E52" s="123"/>
      <c r="F52" s="123"/>
      <c r="G52" s="248"/>
      <c r="H52" s="124"/>
      <c r="I52" s="124"/>
      <c r="J52" s="124"/>
      <c r="K52" s="124"/>
      <c r="L52" s="124"/>
      <c r="M52" s="124"/>
      <c r="N52" s="124"/>
      <c r="O52" s="124"/>
      <c r="P52" s="124"/>
      <c r="Q52" s="124"/>
      <c r="R52" s="124"/>
      <c r="S52" s="124"/>
      <c r="T52" s="124"/>
      <c r="U52" s="124"/>
      <c r="V52" s="124"/>
      <c r="W52" s="124"/>
      <c r="X52" s="124"/>
      <c r="Y52" s="124"/>
    </row>
    <row r="53" spans="2:25" x14ac:dyDescent="0.25">
      <c r="B53" s="102"/>
      <c r="C53" s="102"/>
      <c r="D53" s="102"/>
      <c r="E53" s="125"/>
      <c r="F53" s="92"/>
      <c r="H53" s="9"/>
      <c r="I53" s="9"/>
      <c r="J53" s="9"/>
      <c r="K53" s="9"/>
      <c r="L53" s="9"/>
      <c r="M53" s="9"/>
      <c r="N53" s="9"/>
      <c r="O53" s="9"/>
      <c r="P53" s="9"/>
      <c r="Q53" s="9"/>
      <c r="R53" s="9"/>
      <c r="S53" s="9"/>
      <c r="T53" s="9"/>
      <c r="U53" s="9"/>
      <c r="V53" s="9"/>
      <c r="W53" s="9"/>
      <c r="X53" s="9"/>
      <c r="Y53" s="9"/>
    </row>
    <row r="54" spans="2:25" ht="18" x14ac:dyDescent="0.25">
      <c r="B54" s="7" t="s">
        <v>103</v>
      </c>
      <c r="E54" s="115"/>
      <c r="F54" s="92"/>
      <c r="H54" s="7" t="s">
        <v>458</v>
      </c>
      <c r="I54" s="93" t="s">
        <v>459</v>
      </c>
      <c r="J54" s="92"/>
    </row>
    <row r="55" spans="2:25" x14ac:dyDescent="0.25">
      <c r="C55" s="9"/>
      <c r="D55" s="9" t="s">
        <v>695</v>
      </c>
      <c r="E55" s="115"/>
      <c r="F55" s="92"/>
      <c r="I55" s="48" t="str">
        <f>IF(Deal_Number="","",Deal_Number)</f>
        <v/>
      </c>
      <c r="J55" s="92"/>
    </row>
    <row r="56" spans="2:25" ht="3" customHeight="1" x14ac:dyDescent="0.25">
      <c r="D56" s="126">
        <f>D57</f>
        <v>0</v>
      </c>
      <c r="E56" s="115"/>
      <c r="F56" s="92"/>
      <c r="J56" s="92"/>
    </row>
    <row r="57" spans="2:25" ht="14.45" customHeight="1" x14ac:dyDescent="0.25">
      <c r="C57" s="9" t="s">
        <v>442</v>
      </c>
      <c r="D57" s="195"/>
      <c r="E57" s="115"/>
      <c r="F57" s="92"/>
      <c r="I57" s="116"/>
      <c r="J57" s="92"/>
    </row>
    <row r="58" spans="2:25" x14ac:dyDescent="0.25">
      <c r="C58" s="9"/>
      <c r="D58" s="9"/>
      <c r="E58" s="115"/>
      <c r="F58" s="92"/>
      <c r="H58" s="284" t="s">
        <v>460</v>
      </c>
      <c r="I58" s="284"/>
      <c r="J58" s="92"/>
    </row>
    <row r="59" spans="2:25" x14ac:dyDescent="0.25">
      <c r="C59" s="127" t="s">
        <v>443</v>
      </c>
      <c r="D59" s="9"/>
      <c r="E59" s="115"/>
      <c r="F59" s="92"/>
      <c r="H59" s="284"/>
      <c r="I59" s="284"/>
      <c r="J59" s="92"/>
    </row>
    <row r="60" spans="2:25" x14ac:dyDescent="0.25">
      <c r="E60" s="115"/>
      <c r="F60" s="92"/>
      <c r="H60" s="284"/>
      <c r="I60" s="284"/>
      <c r="J60" s="92"/>
    </row>
    <row r="61" spans="2:25" ht="18.75" x14ac:dyDescent="0.3">
      <c r="C61" s="128" t="s">
        <v>747</v>
      </c>
      <c r="D61" s="129" t="s">
        <v>727</v>
      </c>
      <c r="E61" s="115"/>
      <c r="F61" s="92"/>
      <c r="H61" s="285"/>
      <c r="I61" s="285"/>
      <c r="J61" s="92"/>
    </row>
    <row r="62" spans="2:25" x14ac:dyDescent="0.25">
      <c r="E62" s="115"/>
      <c r="F62" s="92"/>
      <c r="H62" s="130" t="s">
        <v>462</v>
      </c>
      <c r="I62" s="130" t="s">
        <v>461</v>
      </c>
      <c r="J62" s="92"/>
    </row>
    <row r="63" spans="2:25" ht="18.75" x14ac:dyDescent="0.3">
      <c r="C63" s="131" t="s">
        <v>748</v>
      </c>
      <c r="D63" s="129" t="s">
        <v>732</v>
      </c>
      <c r="E63" s="115"/>
      <c r="F63" s="92"/>
      <c r="H63" s="275"/>
      <c r="I63" s="275"/>
      <c r="J63" s="92"/>
    </row>
    <row r="64" spans="2:25" ht="18.75" x14ac:dyDescent="0.3">
      <c r="C64" s="94"/>
      <c r="D64" s="132"/>
      <c r="E64" s="115"/>
      <c r="F64" s="92"/>
      <c r="H64" s="276"/>
      <c r="I64" s="276"/>
      <c r="J64" s="92"/>
    </row>
    <row r="65" spans="2:12" ht="18.75" x14ac:dyDescent="0.3">
      <c r="C65" s="128" t="s">
        <v>749</v>
      </c>
      <c r="D65" s="129" t="s">
        <v>733</v>
      </c>
      <c r="E65" s="115"/>
      <c r="F65" s="92"/>
      <c r="H65" s="282"/>
      <c r="I65" s="282"/>
      <c r="J65" s="92"/>
    </row>
    <row r="66" spans="2:12" x14ac:dyDescent="0.25">
      <c r="E66" s="115"/>
      <c r="F66" s="92"/>
      <c r="H66" s="283"/>
      <c r="I66" s="283"/>
      <c r="J66" s="92"/>
    </row>
    <row r="67" spans="2:12" ht="18.75" x14ac:dyDescent="0.3">
      <c r="C67" s="131" t="s">
        <v>750</v>
      </c>
      <c r="D67" s="129" t="s">
        <v>731</v>
      </c>
      <c r="E67" s="115"/>
      <c r="F67" s="92"/>
      <c r="H67" s="282"/>
      <c r="I67" s="282"/>
      <c r="J67" s="92"/>
    </row>
    <row r="68" spans="2:12" x14ac:dyDescent="0.25">
      <c r="C68" s="122"/>
      <c r="D68" s="41"/>
      <c r="E68" s="123"/>
      <c r="F68" s="121"/>
      <c r="G68" s="118"/>
      <c r="H68" s="283"/>
      <c r="I68" s="283"/>
      <c r="J68" s="92"/>
      <c r="L68" s="279"/>
    </row>
    <row r="69" spans="2:12" x14ac:dyDescent="0.25">
      <c r="B69" s="133"/>
      <c r="C69" s="125"/>
      <c r="D69" s="134"/>
      <c r="E69" s="133"/>
      <c r="F69" s="119"/>
      <c r="G69" s="118"/>
      <c r="H69" s="277"/>
      <c r="I69" s="275"/>
      <c r="J69" s="119"/>
      <c r="L69" s="279"/>
    </row>
    <row r="70" spans="2:12" ht="18" x14ac:dyDescent="0.25">
      <c r="B70" s="7" t="s">
        <v>41</v>
      </c>
      <c r="C70" s="118"/>
      <c r="D70" s="118"/>
      <c r="F70" s="92"/>
      <c r="H70" s="278"/>
      <c r="I70" s="276"/>
      <c r="J70" s="119"/>
      <c r="L70" s="279"/>
    </row>
    <row r="71" spans="2:12" x14ac:dyDescent="0.25">
      <c r="B71" s="135" t="s">
        <v>42</v>
      </c>
      <c r="C71" s="118"/>
      <c r="D71" s="118"/>
      <c r="F71" s="92"/>
      <c r="H71" s="277"/>
      <c r="I71" s="277"/>
      <c r="J71" s="119"/>
      <c r="L71" s="279"/>
    </row>
    <row r="72" spans="2:12" x14ac:dyDescent="0.25">
      <c r="B72" s="135"/>
      <c r="C72" s="118"/>
      <c r="D72" s="118"/>
      <c r="F72" s="92"/>
      <c r="H72" s="278"/>
      <c r="I72" s="278"/>
      <c r="J72" s="119"/>
      <c r="L72" s="279"/>
    </row>
    <row r="73" spans="2:12" x14ac:dyDescent="0.25">
      <c r="C73" s="5" t="s">
        <v>104</v>
      </c>
      <c r="D73" s="51"/>
      <c r="F73" s="92"/>
      <c r="H73" s="275"/>
      <c r="I73" s="275"/>
      <c r="J73" s="92"/>
      <c r="L73" s="136"/>
    </row>
    <row r="74" spans="2:12" x14ac:dyDescent="0.25">
      <c r="C74" s="5" t="s">
        <v>455</v>
      </c>
      <c r="D74" s="52"/>
      <c r="F74" s="92"/>
      <c r="H74" s="276"/>
      <c r="I74" s="276"/>
      <c r="J74" s="92"/>
      <c r="L74" s="65"/>
    </row>
    <row r="75" spans="2:12" x14ac:dyDescent="0.25">
      <c r="C75" s="5" t="s">
        <v>105</v>
      </c>
      <c r="D75" s="51"/>
      <c r="F75" s="92"/>
      <c r="H75" s="275"/>
      <c r="I75" s="275"/>
      <c r="J75" s="92"/>
      <c r="L75" s="136"/>
    </row>
    <row r="76" spans="2:12" x14ac:dyDescent="0.25">
      <c r="C76" s="5" t="s">
        <v>43</v>
      </c>
      <c r="D76" s="52"/>
      <c r="F76" s="92"/>
      <c r="H76" s="276"/>
      <c r="I76" s="276"/>
      <c r="J76" s="92"/>
    </row>
    <row r="77" spans="2:12" x14ac:dyDescent="0.25">
      <c r="C77" s="95" t="s">
        <v>106</v>
      </c>
      <c r="D77" s="51"/>
      <c r="F77" s="92"/>
      <c r="H77" s="275"/>
      <c r="I77" s="275"/>
      <c r="J77" s="92"/>
    </row>
    <row r="78" spans="2:12" x14ac:dyDescent="0.25">
      <c r="C78" s="5" t="s">
        <v>107</v>
      </c>
      <c r="D78" s="52"/>
      <c r="F78" s="92"/>
      <c r="H78" s="276"/>
      <c r="I78" s="276"/>
      <c r="J78" s="92"/>
    </row>
    <row r="79" spans="2:12" x14ac:dyDescent="0.25">
      <c r="C79" s="95" t="s">
        <v>456</v>
      </c>
      <c r="D79" s="51"/>
      <c r="F79" s="92"/>
      <c r="H79" s="275"/>
      <c r="I79" s="275"/>
      <c r="J79" s="92"/>
    </row>
    <row r="80" spans="2:12" x14ac:dyDescent="0.25">
      <c r="C80" s="5" t="s">
        <v>457</v>
      </c>
      <c r="D80" s="217"/>
      <c r="F80" s="92"/>
      <c r="H80" s="276"/>
      <c r="I80" s="276"/>
      <c r="J80" s="92"/>
    </row>
    <row r="81" spans="1:10" x14ac:dyDescent="0.25">
      <c r="D81" s="10"/>
      <c r="F81" s="92"/>
      <c r="J81" s="92"/>
    </row>
    <row r="82" spans="1:10" x14ac:dyDescent="0.25">
      <c r="D82" s="10"/>
      <c r="F82" s="9"/>
    </row>
    <row r="83" spans="1:10" s="137" customFormat="1" ht="7.5" customHeight="1" x14ac:dyDescent="0.25">
      <c r="B83" s="138"/>
      <c r="C83" s="139"/>
      <c r="D83" s="140"/>
    </row>
    <row r="84" spans="1:10" s="83" customFormat="1" ht="33.75" customHeight="1" x14ac:dyDescent="0.25">
      <c r="A84" s="141"/>
      <c r="B84" s="82"/>
    </row>
  </sheetData>
  <sheetProtection formatColumns="0" formatRows="0"/>
  <dataConsolidate/>
  <mergeCells count="22">
    <mergeCell ref="L68:L72"/>
    <mergeCell ref="H10:I11"/>
    <mergeCell ref="A3:I3"/>
    <mergeCell ref="H63:H64"/>
    <mergeCell ref="I63:I64"/>
    <mergeCell ref="H69:H70"/>
    <mergeCell ref="H71:H72"/>
    <mergeCell ref="H65:H66"/>
    <mergeCell ref="H67:H68"/>
    <mergeCell ref="I65:I66"/>
    <mergeCell ref="I67:I68"/>
    <mergeCell ref="H58:I61"/>
    <mergeCell ref="H73:H74"/>
    <mergeCell ref="H75:H76"/>
    <mergeCell ref="H77:H78"/>
    <mergeCell ref="H79:H80"/>
    <mergeCell ref="I69:I70"/>
    <mergeCell ref="I71:I72"/>
    <mergeCell ref="I73:I74"/>
    <mergeCell ref="I75:I76"/>
    <mergeCell ref="I77:I78"/>
    <mergeCell ref="I79:I80"/>
  </mergeCells>
  <conditionalFormatting sqref="C81:C82">
    <cfRule type="expression" dxfId="2" priority="53">
      <formula>$D$78="Yes"</formula>
    </cfRule>
  </conditionalFormatting>
  <conditionalFormatting sqref="D81:D82">
    <cfRule type="expression" dxfId="1" priority="54">
      <formula>$D$78="Yes"</formula>
    </cfRule>
  </conditionalFormatting>
  <dataValidations count="12">
    <dataValidation type="list" allowBlank="1" showInputMessage="1" showErrorMessage="1" sqref="D35:D36 I35 M35 Q35 U35 Y35" xr:uid="{00000000-0002-0000-0100-000000000000}">
      <formula1>"Yes, No"</formula1>
    </dataValidation>
    <dataValidation type="list" allowBlank="1" showInputMessage="1" showErrorMessage="1" sqref="V22 N21 J21 R21" xr:uid="{00000000-0002-0000-0100-000001000000}">
      <formula1>#REF!</formula1>
    </dataValidation>
    <dataValidation type="list" allowBlank="1" showInputMessage="1" showErrorMessage="1" sqref="D29 M29 Y29 U29 Q29 I29" xr:uid="{00000000-0002-0000-0100-000002000000}">
      <formula1>"New Construction,Rehabilitation,Preservation,Mixed"</formula1>
    </dataValidation>
    <dataValidation type="whole" allowBlank="1" showInputMessage="1" showErrorMessage="1" sqref="Y27 I27:J27 V28 M27:N27 Q27:R27 D27 U27 D30" xr:uid="{00000000-0002-0000-0100-000003000000}">
      <formula1>10000000000</formula1>
      <formula2>99999999999</formula2>
    </dataValidation>
    <dataValidation type="date" allowBlank="1" showInputMessage="1" showErrorMessage="1" sqref="D6" xr:uid="{00000000-0002-0000-0100-000004000000}">
      <formula1>43466</formula1>
      <formula2>72686</formula2>
    </dataValidation>
    <dataValidation type="list" allowBlank="1" showInputMessage="1" showErrorMessage="1" sqref="D73 D75 D79 D77 D11" xr:uid="{00000000-0002-0000-0100-000005000000}">
      <formula1>"TRUE,FALSE"</formula1>
    </dataValidation>
    <dataValidation type="list" allowBlank="1" showInputMessage="1" showErrorMessage="1" sqref="D58" xr:uid="{00000000-0002-0000-0100-000007000000}">
      <formula1>"NOFA #2020-2,NOFA #2020-4,NOFA #2020-5,NOFA #2020-6"</formula1>
    </dataValidation>
    <dataValidation type="whole" allowBlank="1" showInputMessage="1" showErrorMessage="1" error="Value must be a single year between 1900 and 2020" sqref="D80" xr:uid="{00000000-0002-0000-0100-00000A000000}">
      <formula1>1900</formula1>
      <formula2>2020</formula2>
    </dataValidation>
    <dataValidation type="decimal" operator="greaterThan" allowBlank="1" showInputMessage="1" showErrorMessage="1" sqref="D22" xr:uid="{00000000-0002-0000-0100-00000B000000}">
      <formula1>1</formula1>
    </dataValidation>
    <dataValidation type="list" allowBlank="1" showInputMessage="1" showErrorMessage="1" sqref="D57" xr:uid="{21C13876-37EB-46E3-AEB5-D88FAF3B92ED}">
      <formula1>"NOFA #2021-2 LIFT Rental,NOFA #2021-4 9% LIHTC,NOFA #2021-5 HOME,NOFA #2021-6 PSH"</formula1>
    </dataValidation>
    <dataValidation type="list" errorStyle="warning" showInputMessage="1" showErrorMessage="1" errorTitle="SmartDox" error="The value you entered for the dropdown is not valid." sqref="I21 D21 Y21 U21 Q21 M21" xr:uid="{F6740129-E350-41B6-8365-BB56782E9A70}">
      <formula1>SD_D_PL_Jurisdiction_Name</formula1>
    </dataValidation>
    <dataValidation type="list" errorStyle="warning" showInputMessage="1" showErrorMessage="1" errorTitle="SmartDox" error="The value you entered for the dropdown is not valid." sqref="D56" xr:uid="{1455A28B-36F2-41CE-B41A-A101FF4CB439}">
      <formula1>SD_D_PL_FundingOpportunity_Name</formula1>
    </dataValidation>
  </dataValidations>
  <hyperlinks>
    <hyperlink ref="C23" r:id="rId1" xr:uid="{00000000-0004-0000-0100-000000000000}"/>
    <hyperlink ref="C22" r:id="rId2" xr:uid="{00000000-0004-0000-0100-000001000000}"/>
    <hyperlink ref="C27" r:id="rId3" display="11-Digit Primary Census Tract, No Spaces" xr:uid="{00000000-0004-0000-0100-000002000000}"/>
    <hyperlink ref="C19" r:id="rId4" xr:uid="{00000000-0004-0000-0100-000003000000}"/>
    <hyperlink ref="C20" r:id="rId5" xr:uid="{00000000-0004-0000-0100-000004000000}"/>
    <hyperlink ref="C24" r:id="rId6" xr:uid="{00000000-0004-0000-0100-000005000000}"/>
    <hyperlink ref="C25" r:id="rId7" xr:uid="{00000000-0004-0000-0100-000006000000}"/>
    <hyperlink ref="C26" r:id="rId8" xr:uid="{00000000-0004-0000-0100-000007000000}"/>
    <hyperlink ref="H26" r:id="rId9" xr:uid="{00000000-0004-0000-0100-000008000000}"/>
    <hyperlink ref="H25" r:id="rId10" xr:uid="{00000000-0004-0000-0100-000009000000}"/>
    <hyperlink ref="H24" r:id="rId11" xr:uid="{00000000-0004-0000-0100-00000A000000}"/>
    <hyperlink ref="H20" r:id="rId12" xr:uid="{00000000-0004-0000-0100-00000B000000}"/>
    <hyperlink ref="H19" r:id="rId13" xr:uid="{00000000-0004-0000-0100-00000C000000}"/>
    <hyperlink ref="H27" r:id="rId14" display="11-Digit Primary Census Tract, No Spaces" xr:uid="{00000000-0004-0000-0100-00000D000000}"/>
    <hyperlink ref="H22" r:id="rId15" xr:uid="{00000000-0004-0000-0100-00000E000000}"/>
    <hyperlink ref="H23" r:id="rId16" xr:uid="{00000000-0004-0000-0100-00000F000000}"/>
    <hyperlink ref="L26" r:id="rId17" xr:uid="{00000000-0004-0000-0100-000010000000}"/>
    <hyperlink ref="L25" r:id="rId18" xr:uid="{00000000-0004-0000-0100-000011000000}"/>
    <hyperlink ref="L24" r:id="rId19" xr:uid="{00000000-0004-0000-0100-000012000000}"/>
    <hyperlink ref="L20" r:id="rId20" xr:uid="{00000000-0004-0000-0100-000013000000}"/>
    <hyperlink ref="L19" r:id="rId21" xr:uid="{00000000-0004-0000-0100-000014000000}"/>
    <hyperlink ref="L27" r:id="rId22" display="11-Digit Primary Census Tract, No Spaces" xr:uid="{00000000-0004-0000-0100-000015000000}"/>
    <hyperlink ref="L22" r:id="rId23" xr:uid="{00000000-0004-0000-0100-000016000000}"/>
    <hyperlink ref="L23" r:id="rId24" xr:uid="{00000000-0004-0000-0100-000017000000}"/>
    <hyperlink ref="P26" r:id="rId25" xr:uid="{00000000-0004-0000-0100-000018000000}"/>
    <hyperlink ref="P25" r:id="rId26" xr:uid="{00000000-0004-0000-0100-000019000000}"/>
    <hyperlink ref="P24" r:id="rId27" xr:uid="{00000000-0004-0000-0100-00001A000000}"/>
    <hyperlink ref="P20" r:id="rId28" xr:uid="{00000000-0004-0000-0100-00001B000000}"/>
    <hyperlink ref="P19" r:id="rId29" xr:uid="{00000000-0004-0000-0100-00001C000000}"/>
    <hyperlink ref="P27" r:id="rId30" display="11-Digit Primary Census Tract, No Spaces" xr:uid="{00000000-0004-0000-0100-00001D000000}"/>
    <hyperlink ref="P22" r:id="rId31" xr:uid="{00000000-0004-0000-0100-00001E000000}"/>
    <hyperlink ref="P23" r:id="rId32" xr:uid="{00000000-0004-0000-0100-00001F000000}"/>
    <hyperlink ref="T26" r:id="rId33" xr:uid="{00000000-0004-0000-0100-000020000000}"/>
    <hyperlink ref="T25" r:id="rId34" xr:uid="{00000000-0004-0000-0100-000021000000}"/>
    <hyperlink ref="T24" r:id="rId35" xr:uid="{00000000-0004-0000-0100-000022000000}"/>
    <hyperlink ref="T20" r:id="rId36" xr:uid="{00000000-0004-0000-0100-000023000000}"/>
    <hyperlink ref="T19" r:id="rId37" xr:uid="{00000000-0004-0000-0100-000024000000}"/>
    <hyperlink ref="T27" r:id="rId38" display="11-Digit Primary Census Tract, No Spaces" xr:uid="{00000000-0004-0000-0100-000025000000}"/>
    <hyperlink ref="T22" r:id="rId39" xr:uid="{00000000-0004-0000-0100-000026000000}"/>
    <hyperlink ref="T23" r:id="rId40" xr:uid="{00000000-0004-0000-0100-000027000000}"/>
    <hyperlink ref="X26" r:id="rId41" xr:uid="{00000000-0004-0000-0100-000028000000}"/>
    <hyperlink ref="X25" r:id="rId42" xr:uid="{00000000-0004-0000-0100-000029000000}"/>
    <hyperlink ref="X24" r:id="rId43" xr:uid="{00000000-0004-0000-0100-00002A000000}"/>
    <hyperlink ref="X20" r:id="rId44" xr:uid="{00000000-0004-0000-0100-00002B000000}"/>
    <hyperlink ref="X19" r:id="rId45" xr:uid="{00000000-0004-0000-0100-00002C000000}"/>
    <hyperlink ref="X27" r:id="rId46" display="11-Digit Primary Census Tract, No Spaces" xr:uid="{00000000-0004-0000-0100-00002D000000}"/>
    <hyperlink ref="X22" r:id="rId47" xr:uid="{00000000-0004-0000-0100-00002E000000}"/>
    <hyperlink ref="X23" r:id="rId48" xr:uid="{00000000-0004-0000-0100-00002F000000}"/>
    <hyperlink ref="C22:C23" r:id="rId49" display="Latitude" xr:uid="{00000000-0004-0000-0100-000030000000}"/>
    <hyperlink ref="X22:X23" r:id="rId50" display="Latitude" xr:uid="{00000000-0004-0000-0100-000031000000}"/>
    <hyperlink ref="T22:T23" r:id="rId51" display="Latitude" xr:uid="{00000000-0004-0000-0100-000032000000}"/>
    <hyperlink ref="P22:P23" r:id="rId52" display="Latitude" xr:uid="{00000000-0004-0000-0100-000033000000}"/>
    <hyperlink ref="L22:L23" r:id="rId53" display="Latitude" xr:uid="{00000000-0004-0000-0100-000034000000}"/>
    <hyperlink ref="H22:H23" r:id="rId54" display="Latitude" xr:uid="{00000000-0004-0000-0100-000035000000}"/>
    <hyperlink ref="C24:C26" r:id="rId55" display="State Senate District" xr:uid="{00000000-0004-0000-0100-000036000000}"/>
    <hyperlink ref="H24:H26" r:id="rId56" display="State Senate District" xr:uid="{00000000-0004-0000-0100-000037000000}"/>
    <hyperlink ref="L24:L26" r:id="rId57" display="State Senate District" xr:uid="{00000000-0004-0000-0100-000038000000}"/>
    <hyperlink ref="P24:P26" r:id="rId58" display="State Senate District" xr:uid="{00000000-0004-0000-0100-000039000000}"/>
    <hyperlink ref="T24:T26" r:id="rId59" display="State Senate District" xr:uid="{00000000-0004-0000-0100-00003A000000}"/>
    <hyperlink ref="X24:X26" r:id="rId60" display="State Senate District" xr:uid="{00000000-0004-0000-0100-00003B000000}"/>
  </hyperlinks>
  <pageMargins left="0.7" right="0.7" top="0.75" bottom="0.75" header="0.3" footer="0.3"/>
  <pageSetup scale="28" orientation="portrait" r:id="rId61"/>
  <drawing r:id="rId62"/>
  <legacyDrawing r:id="rId6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C000000}">
          <x14:formula1>
            <xm:f>'Data - Regions'!$A$2:$A$243</xm:f>
          </x14:formula1>
          <xm:sqref>D17 M17:N17 I17:J17 V18 Q17:R17 Y17 U17</xm:sqref>
        </x14:dataValidation>
        <x14:dataValidation type="list" allowBlank="1" showInputMessage="1" showErrorMessage="1" xr:uid="{00000000-0002-0000-0100-00000D000000}">
          <x14:formula1>
            <xm:f>'Data - Regions'!$N$2:$N$31</xm:f>
          </x14:formula1>
          <xm:sqref>D24 I24 M24 Q24 U24 Y24</xm:sqref>
        </x14:dataValidation>
        <x14:dataValidation type="list" allowBlank="1" showInputMessage="1" showErrorMessage="1" xr:uid="{00000000-0002-0000-0100-00000E000000}">
          <x14:formula1>
            <xm:f>'Data - Regions'!$O$2:$O$61</xm:f>
          </x14:formula1>
          <xm:sqref>D25 I25 M25 Q25 U25 Y25</xm:sqref>
        </x14:dataValidation>
        <x14:dataValidation type="list" allowBlank="1" showInputMessage="1" showErrorMessage="1" xr:uid="{00000000-0002-0000-0100-00000F000000}">
          <x14:formula1>
            <xm:f>'Data - Regions'!$P$2:$P$6</xm:f>
          </x14:formula1>
          <xm:sqref>D26 I26 M26 Q26 U26 Y26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Q139"/>
  <sheetViews>
    <sheetView topLeftCell="A43" zoomScale="80" zoomScaleNormal="80" workbookViewId="0">
      <selection activeCell="E88" sqref="E88"/>
    </sheetView>
  </sheetViews>
  <sheetFormatPr defaultColWidth="9.85546875" defaultRowHeight="15" x14ac:dyDescent="0.25"/>
  <cols>
    <col min="1" max="1" width="4.7109375" style="5" customWidth="1"/>
    <col min="2" max="2" width="6.85546875" style="5" customWidth="1"/>
    <col min="3" max="3" width="3.5703125" style="5" customWidth="1"/>
    <col min="4" max="4" width="32.140625" style="5" customWidth="1"/>
    <col min="5" max="5" width="35.5703125" style="6" customWidth="1"/>
    <col min="6" max="6" width="10.5703125" style="5" customWidth="1"/>
    <col min="7" max="7" width="17.7109375" style="5" customWidth="1"/>
    <col min="8" max="8" width="31.42578125" style="6" customWidth="1"/>
    <col min="9" max="9" width="9.42578125" style="5" customWidth="1"/>
    <col min="10" max="10" width="30.7109375" style="5" customWidth="1"/>
    <col min="11" max="11" width="28.140625" style="6" customWidth="1"/>
    <col min="12" max="12" width="6.5703125" style="5" customWidth="1"/>
    <col min="13" max="13" width="17.85546875" style="5" customWidth="1"/>
    <col min="14" max="14" width="39.7109375" style="6" customWidth="1"/>
    <col min="15" max="15" width="18.5703125" style="5" bestFit="1" customWidth="1"/>
    <col min="16" max="16" width="69" style="5" customWidth="1"/>
    <col min="17" max="16384" width="9.85546875" style="5"/>
  </cols>
  <sheetData>
    <row r="1" spans="1:16" s="9" customFormat="1" ht="65.099999999999994" customHeight="1" x14ac:dyDescent="0.25">
      <c r="B1" s="80"/>
    </row>
    <row r="2" spans="1:16" s="83" customFormat="1" ht="33.75" customHeight="1" x14ac:dyDescent="0.25">
      <c r="A2" s="81" t="s">
        <v>44</v>
      </c>
      <c r="B2" s="82"/>
    </row>
    <row r="3" spans="1:16" s="84" customFormat="1" ht="20.100000000000001" customHeight="1" x14ac:dyDescent="0.25">
      <c r="A3" s="281" t="str">
        <f>IF(Deal_Name="","",Deal_Name)</f>
        <v/>
      </c>
      <c r="B3" s="281"/>
      <c r="C3" s="281"/>
      <c r="D3" s="281"/>
      <c r="E3" s="281"/>
      <c r="F3" s="281"/>
      <c r="G3" s="281"/>
      <c r="H3" s="281"/>
      <c r="I3" s="281"/>
    </row>
    <row r="5" spans="1:16" ht="18" x14ac:dyDescent="0.25">
      <c r="B5" s="7" t="s">
        <v>46</v>
      </c>
      <c r="J5" s="7" t="s">
        <v>47</v>
      </c>
    </row>
    <row r="6" spans="1:16" x14ac:dyDescent="0.25">
      <c r="P6" s="65"/>
    </row>
    <row r="7" spans="1:16" ht="15.75" x14ac:dyDescent="0.25">
      <c r="B7" s="206"/>
      <c r="C7" s="206"/>
      <c r="D7" s="206" t="s">
        <v>48</v>
      </c>
      <c r="E7" s="228" t="str">
        <f>IF(Series1_Deal_Entity_Role="Developer",Series1_Name__Doing_Business_As,IF(Series2_Deal_Entity_Role="Developer",Series2_Name__Doing_Business_As,IF(Series3_Deal_Entity_Role="Developer",Series3_Name__Doing_Business_As,IF(Series4_Deal_Entity_Role="Developer",Series4_Name__Doing_Business_As,IF(Series5_Deal_Entity_Role="Developer",Series5_Name__Doing_Business_As,IF(Series6_Deal_Entity_Role="Developer",Series6_Name__Doing_Business_As,""))))))</f>
        <v/>
      </c>
      <c r="F7" s="206"/>
      <c r="G7" s="8" t="s">
        <v>49</v>
      </c>
      <c r="H7" s="74"/>
      <c r="I7" s="206"/>
      <c r="J7" s="206" t="s">
        <v>48</v>
      </c>
      <c r="K7" s="68" t="str">
        <f>IF(Series1_Deal_Entity_Role="Co-Developer",Series1_Name__Doing_Business_As,IF(Series2_Deal_Entity_Role="Co-Developer",Series2_Name__Doing_Business_As,IF(Series3_Deal_Entity_Role="Co-Developer",Series3_Name__Doing_Business_As,IF(Series4_Deal_Entity_Role="Co-Developer",Series4_Name__Doing_Business_As,IF(Series5_Deal_Entity_Role="Co-Developer",Series5_Name__Doing_Business_As,IF(Series6_Deal_Entity_Role="Co-Developer",Series6_Name__Doing_Business_As,""))))))</f>
        <v/>
      </c>
      <c r="L7" s="206"/>
      <c r="M7" s="8" t="s">
        <v>49</v>
      </c>
      <c r="N7" s="74"/>
      <c r="P7" s="65"/>
    </row>
    <row r="8" spans="1:16" x14ac:dyDescent="0.25">
      <c r="B8" s="206"/>
      <c r="C8" s="206"/>
      <c r="D8" s="206" t="s">
        <v>25</v>
      </c>
      <c r="E8" s="228" t="str">
        <f>IF(Series1_Deal_Entity_Role="Developer",Series1_Address_1,IF(Series2_Deal_Entity_Role="Developer",Series2_Address_1,IF(Series3_Deal_Entity_Role="Developer",Series3_Address_1,IF(Series4_Deal_Entity_Role="Developer",Series4_Address_1,IF(Series5_Deal_Entity_Role="Developer",Series5_Address_1,IF(Series6_Deal_Entity_Role="Developer",Series6_Address_1,""))))))</f>
        <v/>
      </c>
      <c r="F8" s="206"/>
      <c r="G8" s="206" t="s">
        <v>50</v>
      </c>
      <c r="H8" s="68"/>
      <c r="I8" s="206"/>
      <c r="J8" s="206" t="s">
        <v>25</v>
      </c>
      <c r="K8" s="68" t="str">
        <f>IF(Series1_Deal_Entity_Role="Co-Developer",Series1_Address_1,IF(Series2_Deal_Entity_Role="Co-Developer",Series2_Address_1,IF(Series3_Deal_Entity_Role="Co-Developer",Series3_Address_1,IF(Series4_Deal_Entity_Role="Co-Developer",Series4_Address_1,IF(Series5_Deal_Entity_Role="Co-Developer",Series5_Address_1,IF(Series6_Deal_Entity_Role="Co-Developer",Series6_Address_1,""))))))</f>
        <v/>
      </c>
      <c r="L8" s="206"/>
      <c r="M8" s="206" t="s">
        <v>50</v>
      </c>
      <c r="N8" s="68"/>
      <c r="P8" s="65"/>
    </row>
    <row r="9" spans="1:16" x14ac:dyDescent="0.25">
      <c r="B9" s="206"/>
      <c r="C9" s="206"/>
      <c r="D9" s="206" t="s">
        <v>26</v>
      </c>
      <c r="E9" s="228" t="str">
        <f>IF(Series1_Deal_Entity_Role="Developer",Series1_City,IF(Series2_Deal_Entity_Role="Developer",Series2_City,IF(Series3_Deal_Entity_Role="Developer",Series3_City,IF(Series4_Deal_Entity_Role="Developer",Series4_City,IF(Series5_Deal_Entity_Role="Developer",Series5_City,IF(Series6_Deal_Entity_Role="Developer",Series6_City,""))))))</f>
        <v/>
      </c>
      <c r="F9" s="206"/>
      <c r="G9" s="206" t="s">
        <v>51</v>
      </c>
      <c r="H9" s="68"/>
      <c r="I9" s="206"/>
      <c r="J9" s="206" t="s">
        <v>26</v>
      </c>
      <c r="K9" s="68" t="str">
        <f>IF(Series1_Deal_Entity_Role="Co-Developer",Series1_City,IF(Series2_Deal_Entity_Role="Co-Developer",Series2_City,IF(Series3_Deal_Entity_Role="Co-Developer",Series3_City,IF(Series4_Deal_Entity_Role="Co-Developer",Series4_City,IF(Series5_Deal_Entity_Role="Co-Developer",Series5_City,IF(Series6_Deal_Entity_Role="Co-Developer",Series6_City,""))))))</f>
        <v/>
      </c>
      <c r="L9" s="206"/>
      <c r="M9" s="206" t="s">
        <v>51</v>
      </c>
      <c r="N9" s="68"/>
      <c r="P9" s="65"/>
    </row>
    <row r="10" spans="1:16" x14ac:dyDescent="0.25">
      <c r="B10" s="206"/>
      <c r="C10" s="206"/>
      <c r="D10" s="206" t="s">
        <v>15</v>
      </c>
      <c r="E10" s="228" t="str">
        <f>IF(Series1_Deal_Entity_Role="Developer",Series1_County,IF(Series2_Deal_Entity_Role="Developer",Series2_County,IF(Series3_Deal_Entity_Role="Developer",Series3_County,IF(Series4_Deal_Entity_Role="Developer",Series4_County,IF(Series5_Deal_Entity_Role="Developer",Series5_County,IF(Series6_Deal_Entity_Role="Developer",Series6_County,""))))))</f>
        <v/>
      </c>
      <c r="F10" s="206"/>
      <c r="G10" s="206" t="s">
        <v>52</v>
      </c>
      <c r="H10" s="68"/>
      <c r="I10" s="206"/>
      <c r="J10" s="206" t="s">
        <v>15</v>
      </c>
      <c r="K10" s="68" t="str">
        <f>IF(Series1_Deal_Entity_Role="Co-Developer",Series1_County,IF(Series2_Deal_Entity_Role="Co-Developer",Series2_County,IF(Series3_Deal_Entity_Role="Co-Developer",Series3_County,IF(Series4_Deal_Entity_Role="Co-Developer",Series4_County,IF(Series5_Deal_Entity_Role="Co-Developer",Series5_County,IF(Series6_Deal_Entity_Role="Co-Developer",Series6_County,""))))))</f>
        <v/>
      </c>
      <c r="L10" s="206"/>
      <c r="M10" s="206" t="s">
        <v>52</v>
      </c>
      <c r="N10" s="68"/>
      <c r="P10" s="65"/>
    </row>
    <row r="11" spans="1:16" x14ac:dyDescent="0.25">
      <c r="B11" s="206"/>
      <c r="C11" s="206"/>
      <c r="D11" s="206" t="s">
        <v>27</v>
      </c>
      <c r="E11" s="228" t="str">
        <f>IF(Series1_Deal_Entity_Role="Developer",Series1_State,IF(Series2_Deal_Entity_Role="Developer",Series2_State,IF(Series3_Deal_Entity_Role="Developer",Series3_State,IF(Series4_Deal_Entity_Role="Developer",Series4_State,IF(Series5_Deal_Entity_Role="Developer",Series5_State,IF(Series6_Deal_Entity_Role="Developer",Series6_State,""))))))</f>
        <v/>
      </c>
      <c r="F11" s="206"/>
      <c r="G11" s="206" t="s">
        <v>24</v>
      </c>
      <c r="H11" s="68"/>
      <c r="I11" s="206"/>
      <c r="J11" s="206" t="s">
        <v>27</v>
      </c>
      <c r="K11" s="68" t="str">
        <f>IF(Series1_Deal_Entity_Role="Co-Developer",Series1_State,IF(Series2_Deal_Entity_Role="Co-Developer",Series2_State,IF(Series3_Deal_Entity_Role="Co-Developer",Series3_State,IF(Series4_Deal_Entity_Role="Co-Developer",Series4_State,IF(Series5_Deal_Entity_Role="Co-Developer",Series5_State,IF(Series6_Deal_Entity_Role="Co-Developer",Series6_State,""))))))</f>
        <v/>
      </c>
      <c r="L11" s="206"/>
      <c r="M11" s="206" t="s">
        <v>53</v>
      </c>
      <c r="N11" s="68"/>
      <c r="P11" s="65"/>
    </row>
    <row r="12" spans="1:16" x14ac:dyDescent="0.25">
      <c r="B12" s="206"/>
      <c r="C12" s="206"/>
      <c r="D12" s="206" t="s">
        <v>54</v>
      </c>
      <c r="E12" s="228" t="str">
        <f>IF(Series1_Deal_Entity_Role="Developer",Series1_Zip_Code,IF(Series2_Deal_Entity_Role="Developer",Series2_Zip_Code,IF(Series3_Deal_Entity_Role="Developer",Series3_Zip_Code,IF(Series4_Deal_Entity_Role="Developer",Series4_Zip_Code,IF(Series5_Deal_Entity_Role="Developer",Series5_Zip_Code,IF(Series6_Deal_Entity_Role="Developer",Series6_Zip_Code,""))))))</f>
        <v/>
      </c>
      <c r="F12" s="206"/>
      <c r="G12" s="206" t="s">
        <v>53</v>
      </c>
      <c r="H12" s="68"/>
      <c r="I12" s="206"/>
      <c r="J12" s="206" t="s">
        <v>54</v>
      </c>
      <c r="K12" s="68" t="str">
        <f>IF(Series1_Deal_Entity_Role="Co-Developer",Series1_Zip_Code,IF(Series2_Deal_Entity_Role="Co-Developer",Series2_Zip_Code,IF(Series3_Deal_Entity_Role="Co-Developer",Series3_Zip_Code,IF(Series4_Deal_Entity_Role="Co-Developer",Series4_Zip_Code,IF(Series5_Deal_Entity_Role="Co-Developer",Series5_Zip_Code,IF(Series6_Deal_Entity_Role="Co-Developer",Series6_Zip_Code,""))))))</f>
        <v/>
      </c>
      <c r="L12" s="206"/>
      <c r="M12" s="206" t="s">
        <v>24</v>
      </c>
      <c r="N12" s="68"/>
      <c r="P12" s="65"/>
    </row>
    <row r="13" spans="1:16" x14ac:dyDescent="0.25">
      <c r="B13" s="206"/>
      <c r="C13" s="206"/>
      <c r="D13" s="206" t="s">
        <v>55</v>
      </c>
      <c r="E13" s="236" t="str">
        <f>IF(Series1_Deal_Entity_Role="Developer",Series1_Tax_ID_Number,IF(Series2_Deal_Entity_Role="Developer",Series2_Tax_ID_Number,IF(Series3_Deal_Entity_Role="Developer",Series3_Tax_ID_Number,IF(Series4_Deal_Entity_Role="Developer",Series4_Tax_ID_Number,IF(Series5_Deal_Entity_Role="Developer",Series5_Tax_ID_Number,IF(Series6_Deal_Entity_Role="Developer",Series6_Tax_ID_Number,""))))))</f>
        <v/>
      </c>
      <c r="F13" s="206"/>
      <c r="G13" s="206" t="s">
        <v>56</v>
      </c>
      <c r="H13" s="68" t="str">
        <f>IF(Series1_Deal_Entity_Role="Developer",Series1_Direct_Phone,IF(Series2_Deal_Entity_Role="Developer",Series2_Direct_Phone,IF(Series3_Deal_Entity_Role="Developer",Series3_Direct_Phone,IF(Series4_Deal_Entity_Role="Developer",Series4_Direct_Phone,IF(Series5_Deal_Entity_Role="Developer",Series5_Direct_Phone,IF(Series6_Deal_Entity_Role="Developer",Series6_Direct_Phone,""))))))</f>
        <v/>
      </c>
      <c r="I13" s="206"/>
      <c r="J13" s="206" t="s">
        <v>55</v>
      </c>
      <c r="K13" s="235" t="str">
        <f>IF(Series1_Deal_Entity_Role="Co-Developer",Series1_Tax_ID_Number,IF(Series2_Deal_Entity_Role="Co-Developer",Series2_Tax_ID_Number,IF(Series3_Deal_Entity_Role="Co-Developer",Series3_Tax_ID_Number,IF(Series4_Deal_Entity_Role="Co-Developer",Series4_Tax_ID_Number,IF(Series5_Deal_Entity_Role="Co-Developer",Series5_Tax_ID_Number,IF(Series6_Deal_Entity_Role="Co-Developer",Series6_Tax_ID_Number,""))))))</f>
        <v/>
      </c>
      <c r="L13" s="206"/>
      <c r="M13" s="206" t="s">
        <v>56</v>
      </c>
      <c r="N13" s="68" t="str">
        <f>IF(Series1_Deal_Entity_Role="Co-Developer",Series1_Direct_Phone,IF(Series2_Deal_Entity_Role="Co-Developer",Series2_Direct_Phone,IF(Series3_Deal_Entity_Role="Co-Developer",Series3_Direct_Phone,IF(Series4_Deal_Entity_Role="Co-Developer",Series4_Direct_Phone,IF(Series5_Deal_Entity_Role="Co-Developer",Series5_Direct_Phone,IF(Series6_Deal_Entity_Role="Co-Developer",Series6_Direct_Phone,""))))))</f>
        <v/>
      </c>
      <c r="P13" s="65"/>
    </row>
    <row r="14" spans="1:16" x14ac:dyDescent="0.25">
      <c r="B14" s="206"/>
      <c r="C14" s="206"/>
      <c r="D14" s="206" t="s">
        <v>57</v>
      </c>
      <c r="E14" s="228"/>
      <c r="F14" s="206"/>
      <c r="G14" s="206" t="s">
        <v>58</v>
      </c>
      <c r="H14" s="68"/>
      <c r="I14" s="206"/>
      <c r="J14" s="206" t="s">
        <v>57</v>
      </c>
      <c r="K14" s="68"/>
      <c r="L14" s="206"/>
      <c r="M14" s="206" t="s">
        <v>58</v>
      </c>
      <c r="N14" s="72"/>
      <c r="P14" s="65"/>
    </row>
    <row r="15" spans="1:16" x14ac:dyDescent="0.25">
      <c r="B15" s="206"/>
      <c r="C15" s="206"/>
      <c r="D15" s="206" t="s">
        <v>706</v>
      </c>
      <c r="E15" s="69"/>
      <c r="F15" s="206"/>
      <c r="G15" s="206" t="s">
        <v>60</v>
      </c>
      <c r="H15" s="68" t="str">
        <f>IF(Series1_Deal_Entity_Role="Developer",Series1_Email_Address_1,IF(Series2_Deal_Entity_Role="Developer",Series2_Email_Address_1,IF(Series3_Deal_Entity_Role="Developer",Series3_Email_Address_1,IF(Series4_Deal_Entity_Role="Developer",Series4_Email_Address_1,IF(Series5_Deal_Entity_Role="Developer",Series5_Email_Address_1,IF(Series6_Deal_Entity_Role="Developer",Series6_Email_Address_1,""))))))</f>
        <v/>
      </c>
      <c r="I15" s="206"/>
      <c r="J15" s="206" t="s">
        <v>706</v>
      </c>
      <c r="K15" s="69"/>
      <c r="L15" s="206"/>
      <c r="M15" s="206" t="s">
        <v>60</v>
      </c>
      <c r="N15" s="68" t="str">
        <f>IF(Series1_Deal_Entity_Role="Co-Developer",Series1_Email_Address_1,IF(Series2_Deal_Entity_Role="Co-Developer",Series2_Email_Address_1,IF(Series3_Deal_Entity_Role="Co-Developer",Series3_Email_Address_1,IF(Series4_Deal_Entity_Role="Co-Developer",Series4_Email_Address_1,IF(Series5_Deal_Entity_Role="Co-Developer",Series5_Email_Address_1,IF(Series6_Deal_Entity_Role="Co-Developer",Series6_Email_Address_1,""))))))</f>
        <v/>
      </c>
      <c r="P15" s="65"/>
    </row>
    <row r="16" spans="1:16" x14ac:dyDescent="0.25">
      <c r="B16" s="206"/>
      <c r="C16" s="206"/>
      <c r="D16" s="206" t="s">
        <v>59</v>
      </c>
      <c r="E16" s="69"/>
      <c r="F16" s="206"/>
      <c r="G16" s="206"/>
      <c r="H16" s="206"/>
      <c r="I16" s="206"/>
      <c r="J16" s="206" t="s">
        <v>59</v>
      </c>
      <c r="K16" s="69"/>
      <c r="L16" s="206"/>
      <c r="M16" s="206"/>
      <c r="N16" s="206"/>
      <c r="P16" s="65"/>
    </row>
    <row r="17" spans="2:16" x14ac:dyDescent="0.25">
      <c r="B17" s="206"/>
      <c r="C17" s="206"/>
      <c r="D17" s="85" t="s">
        <v>61</v>
      </c>
      <c r="E17" s="69"/>
      <c r="F17" s="206"/>
      <c r="G17" s="206"/>
      <c r="H17" s="74"/>
      <c r="I17" s="206"/>
      <c r="J17" s="85" t="s">
        <v>61</v>
      </c>
      <c r="K17" s="69"/>
      <c r="L17" s="206"/>
      <c r="M17" s="206"/>
      <c r="N17" s="74"/>
      <c r="P17" s="65"/>
    </row>
    <row r="18" spans="2:16" x14ac:dyDescent="0.25">
      <c r="B18" s="206"/>
      <c r="C18" s="206"/>
      <c r="D18" s="85"/>
      <c r="E18" s="207"/>
      <c r="F18" s="206"/>
      <c r="G18" s="206"/>
      <c r="H18" s="74"/>
      <c r="I18" s="206"/>
      <c r="J18" s="206"/>
      <c r="K18" s="206"/>
      <c r="L18" s="206"/>
      <c r="M18" s="206"/>
      <c r="N18" s="74"/>
      <c r="P18" s="65"/>
    </row>
    <row r="19" spans="2:16" x14ac:dyDescent="0.25">
      <c r="B19" s="206"/>
      <c r="C19" s="206"/>
      <c r="D19" s="85"/>
      <c r="E19" s="207"/>
      <c r="F19" s="206"/>
      <c r="G19" s="206"/>
      <c r="H19" s="74"/>
      <c r="I19" s="206"/>
      <c r="J19" s="208" t="s">
        <v>62</v>
      </c>
      <c r="K19" s="69"/>
      <c r="L19" s="206"/>
      <c r="M19" s="206"/>
      <c r="N19" s="74"/>
      <c r="P19" s="65"/>
    </row>
    <row r="20" spans="2:16" x14ac:dyDescent="0.25">
      <c r="B20" s="206"/>
      <c r="C20" s="206"/>
      <c r="D20" s="85"/>
      <c r="E20" s="207"/>
      <c r="F20" s="206"/>
      <c r="G20" s="206"/>
      <c r="H20" s="206"/>
      <c r="I20" s="206"/>
      <c r="J20" s="208" t="s">
        <v>63</v>
      </c>
      <c r="K20" s="69"/>
      <c r="L20" s="206"/>
      <c r="M20" s="206"/>
      <c r="N20" s="74"/>
      <c r="P20" s="65"/>
    </row>
    <row r="21" spans="2:16" x14ac:dyDescent="0.25">
      <c r="D21" s="9"/>
      <c r="E21" s="41"/>
      <c r="H21" s="5"/>
      <c r="J21" s="10"/>
      <c r="K21" s="5"/>
      <c r="P21" s="77"/>
    </row>
    <row r="22" spans="2:16" ht="18" x14ac:dyDescent="0.25">
      <c r="D22" s="7" t="s">
        <v>707</v>
      </c>
      <c r="E22" s="41"/>
      <c r="F22" s="41"/>
      <c r="G22" s="7" t="s">
        <v>708</v>
      </c>
      <c r="H22" s="5"/>
      <c r="J22" s="7" t="s">
        <v>713</v>
      </c>
      <c r="K22" s="5"/>
      <c r="P22" s="77"/>
    </row>
    <row r="23" spans="2:16" x14ac:dyDescent="0.25">
      <c r="D23" s="113" t="s">
        <v>709</v>
      </c>
      <c r="E23" s="41"/>
      <c r="F23" s="41"/>
      <c r="G23" s="113" t="s">
        <v>710</v>
      </c>
      <c r="H23" s="5"/>
      <c r="J23" s="113" t="s">
        <v>714</v>
      </c>
      <c r="K23" s="5"/>
      <c r="P23" s="77"/>
    </row>
    <row r="24" spans="2:16" x14ac:dyDescent="0.25">
      <c r="D24" s="206"/>
      <c r="E24" s="74"/>
      <c r="F24" s="206"/>
      <c r="G24" s="206"/>
      <c r="H24" s="206"/>
      <c r="J24" s="206"/>
      <c r="K24" s="206"/>
      <c r="P24" s="77"/>
    </row>
    <row r="25" spans="2:16" x14ac:dyDescent="0.25">
      <c r="D25" s="206" t="s">
        <v>51</v>
      </c>
      <c r="E25" s="228"/>
      <c r="F25" s="206"/>
      <c r="G25" s="206" t="s">
        <v>711</v>
      </c>
      <c r="H25" s="229"/>
      <c r="J25" s="206" t="s">
        <v>711</v>
      </c>
      <c r="K25" s="229"/>
      <c r="P25" s="77"/>
    </row>
    <row r="26" spans="2:16" x14ac:dyDescent="0.25">
      <c r="D26" s="206" t="s">
        <v>52</v>
      </c>
      <c r="E26" s="228"/>
      <c r="F26" s="206"/>
      <c r="G26" s="206" t="s">
        <v>712</v>
      </c>
      <c r="H26" s="229"/>
      <c r="J26" s="206" t="s">
        <v>712</v>
      </c>
      <c r="K26" s="229"/>
      <c r="P26" s="77"/>
    </row>
    <row r="27" spans="2:16" x14ac:dyDescent="0.25">
      <c r="D27" s="206" t="s">
        <v>24</v>
      </c>
      <c r="E27" s="228"/>
      <c r="F27" s="206"/>
      <c r="G27" s="206" t="s">
        <v>24</v>
      </c>
      <c r="H27" s="229"/>
      <c r="J27" s="206" t="s">
        <v>24</v>
      </c>
      <c r="K27" s="229"/>
      <c r="P27" s="77"/>
    </row>
    <row r="28" spans="2:16" x14ac:dyDescent="0.25">
      <c r="D28" s="206" t="s">
        <v>53</v>
      </c>
      <c r="E28" s="228"/>
      <c r="F28" s="206"/>
      <c r="G28" s="206" t="s">
        <v>25</v>
      </c>
      <c r="H28" s="229"/>
      <c r="J28" s="206" t="s">
        <v>56</v>
      </c>
      <c r="K28" s="229"/>
      <c r="P28" s="77"/>
    </row>
    <row r="29" spans="2:16" x14ac:dyDescent="0.25">
      <c r="D29" s="206" t="s">
        <v>56</v>
      </c>
      <c r="E29" s="228" t="str">
        <f>IF(Series1_Deal_Entity_Role="Consultant",Series1_Direct_Phone,IF(Series2_Deal_Entity_Role="Consultant",Series2_Direct_Phone,IF(Series3_Deal_Entity_Role="Consultant",Series3_Direct_Phone,IF(Series4_Deal_Entity_Role="Consultant",Series4_Direct_Phone,IF(Series5_Deal_Entity_Role="Consultant",Series5_Direct_Phone,IF(Series6_Deal_Entity_Role="Consultant",Series6_Direct_Phone,""))))))</f>
        <v/>
      </c>
      <c r="F29" s="206"/>
      <c r="G29" s="206" t="s">
        <v>26</v>
      </c>
      <c r="H29" s="229"/>
      <c r="J29" s="206" t="s">
        <v>60</v>
      </c>
      <c r="K29" s="229"/>
      <c r="P29" s="77"/>
    </row>
    <row r="30" spans="2:16" x14ac:dyDescent="0.25">
      <c r="D30" s="206" t="s">
        <v>60</v>
      </c>
      <c r="E30" s="228" t="str">
        <f>IF(Series1_Deal_Entity_Role="Consultant",Series1_Email_Address_1,IF(Series2_Deal_Entity_Role="Consultant",Series2_Email_Address_1,IF(Series3_Deal_Entity_Role="Consultant",Series3_Email_Address_1,IF(Series4_Deal_Entity_Role="Consultant",Series4_Email_Address_1,IF(Series5_Deal_Entity_Role="Consultant",Series5_Email_Address_1,IF(Series6_Deal_Entity_Role="Consultant",Series6_Email_Address_1,""))))))</f>
        <v/>
      </c>
      <c r="F30" s="206"/>
      <c r="G30" s="206" t="s">
        <v>15</v>
      </c>
      <c r="H30" s="229"/>
      <c r="P30" s="77"/>
    </row>
    <row r="31" spans="2:16" x14ac:dyDescent="0.25">
      <c r="D31" s="206"/>
      <c r="E31" s="207"/>
      <c r="F31" s="206"/>
      <c r="G31" s="206" t="s">
        <v>27</v>
      </c>
      <c r="H31" s="229"/>
      <c r="P31" s="77"/>
    </row>
    <row r="32" spans="2:16" x14ac:dyDescent="0.25">
      <c r="D32" s="206"/>
      <c r="E32" s="207"/>
      <c r="F32" s="206"/>
      <c r="G32" s="206" t="s">
        <v>54</v>
      </c>
      <c r="H32" s="229"/>
      <c r="P32" s="77"/>
    </row>
    <row r="33" spans="2:17" x14ac:dyDescent="0.25">
      <c r="D33" s="206"/>
      <c r="E33" s="207"/>
      <c r="F33" s="206"/>
      <c r="G33" s="206" t="s">
        <v>56</v>
      </c>
      <c r="H33" s="229"/>
      <c r="P33" s="77"/>
    </row>
    <row r="34" spans="2:17" x14ac:dyDescent="0.25">
      <c r="D34" s="206"/>
      <c r="E34" s="207"/>
      <c r="F34" s="206"/>
      <c r="G34" s="206" t="s">
        <v>60</v>
      </c>
      <c r="H34" s="229"/>
      <c r="P34" s="77"/>
    </row>
    <row r="35" spans="2:17" x14ac:dyDescent="0.25">
      <c r="D35" s="206"/>
      <c r="E35" s="207"/>
      <c r="F35" s="206"/>
      <c r="G35" s="206"/>
      <c r="H35" s="212"/>
      <c r="P35" s="77"/>
    </row>
    <row r="36" spans="2:17" ht="18" x14ac:dyDescent="0.25">
      <c r="B36" s="7" t="s">
        <v>715</v>
      </c>
      <c r="C36" s="6"/>
      <c r="D36" s="9"/>
      <c r="E36" s="41"/>
      <c r="H36" s="5"/>
      <c r="K36" s="5"/>
      <c r="N36" s="5"/>
      <c r="Q36" s="65"/>
    </row>
    <row r="37" spans="2:17" x14ac:dyDescent="0.25">
      <c r="B37" s="9"/>
      <c r="C37" s="41"/>
      <c r="D37" s="9"/>
      <c r="E37" s="41"/>
      <c r="H37" s="5"/>
      <c r="K37" s="5"/>
      <c r="N37" s="5"/>
      <c r="Q37" s="65"/>
    </row>
    <row r="38" spans="2:17" ht="15.75" x14ac:dyDescent="0.25">
      <c r="B38" s="85"/>
      <c r="C38" s="207"/>
      <c r="D38" s="206" t="s">
        <v>65</v>
      </c>
      <c r="E38" s="68" t="str">
        <f>IF(Series1_Deal_Entity_Role="Consultant",Series1_Name__Doing_Business_As,IF(Series2_Deal_Entity_Role="Consultant",Series2_Name__Doing_Business_As,IF(Series3_Deal_Entity_Role="Consultant",Series3_Name__Doing_Business_As,IF(Series4_Deal_Entity_Role="Consultant",Series4_Name__Doing_Business_As,IF(Series5_Deal_Entity_Role="Consultant",Series5_Name__Doing_Business_As,IF(Series6_Deal_Entity_Role="Consultant",Series6_Name__Doing_Business_As,""))))))</f>
        <v/>
      </c>
      <c r="F38" s="206"/>
      <c r="G38" s="237" t="s">
        <v>49</v>
      </c>
      <c r="H38" s="238"/>
      <c r="K38" s="5"/>
      <c r="N38" s="5"/>
    </row>
    <row r="39" spans="2:17" x14ac:dyDescent="0.25">
      <c r="B39" s="206"/>
      <c r="C39" s="206"/>
      <c r="D39" s="206" t="s">
        <v>25</v>
      </c>
      <c r="E39" s="68" t="str">
        <f>IF(Series1_Deal_Entity_Role="Consultant",Series1_Address_1,IF(Series2_Deal_Entity_Role="Consultant",Series2_Address_1,IF(Series3_Deal_Entity_Role="Consultant",Series3_Address_1,IF(Series4_Deal_Entity_Role="Consultant",Series4_Address_1,IF(Series5_Deal_Entity_Role="Consultant",Series5_Address_1,IF(Series6_Deal_Entity_Role="Consultant",Series6_Address_1,""))))))</f>
        <v/>
      </c>
      <c r="F39" s="206"/>
      <c r="G39" s="31" t="s">
        <v>51</v>
      </c>
      <c r="H39" s="68"/>
      <c r="K39" s="5"/>
      <c r="N39" s="5"/>
    </row>
    <row r="40" spans="2:17" x14ac:dyDescent="0.25">
      <c r="B40" s="206"/>
      <c r="C40" s="206"/>
      <c r="D40" s="206" t="s">
        <v>26</v>
      </c>
      <c r="E40" s="68" t="str">
        <f>IF(Series1_Deal_Entity_Role="Consultant",Series1_City,IF(Series2_Deal_Entity_Role="Consultant",Series2_City,IF(Series3_Deal_Entity_Role="Consultant",Series3_City,IF(Series4_Deal_Entity_Role="Consultant",Series4_City,IF(Series5_Deal_Entity_Role="Consultant",Series5_City,IF(Series6_Deal_Entity_Role="Consultant",Series6_City,""))))))</f>
        <v/>
      </c>
      <c r="F40" s="206"/>
      <c r="G40" s="31" t="s">
        <v>52</v>
      </c>
      <c r="H40" s="68"/>
      <c r="K40" s="5"/>
      <c r="N40" s="5"/>
    </row>
    <row r="41" spans="2:17" x14ac:dyDescent="0.25">
      <c r="B41" s="206"/>
      <c r="C41" s="206"/>
      <c r="D41" s="206" t="s">
        <v>15</v>
      </c>
      <c r="E41" s="68" t="str">
        <f>IF(Series1_Deal_Entity_Role="Consultant",Series1_County,IF(Series2_Deal_Entity_Role="Consultant",Series2_County,IF(Series3_Deal_Entity_Role="Consultant",Series3_County,IF(Series4_Deal_Entity_Role="Consultant",Series4_County,IF(Series5_Deal_Entity_Role="Consultant",Series5_County,IF(Series6_Deal_Entity_Role="Consultant",Series6_County,""))))))</f>
        <v/>
      </c>
      <c r="F41" s="206"/>
      <c r="G41" s="31" t="s">
        <v>24</v>
      </c>
      <c r="H41" s="68"/>
      <c r="K41" s="5"/>
      <c r="N41" s="5"/>
    </row>
    <row r="42" spans="2:17" x14ac:dyDescent="0.25">
      <c r="B42" s="206"/>
      <c r="C42" s="206"/>
      <c r="D42" s="206" t="s">
        <v>27</v>
      </c>
      <c r="E42" s="68" t="str">
        <f>IF(Series1_Deal_Entity_Role="Consultant",Series1_State,IF(Series2_Deal_Entity_Role="Consultant",Series2_State,IF(Series3_Deal_Entity_Role="Consultant",Series3_State,IF(Series4_Deal_Entity_Role="Consultant",Series4_State,IF(Series5_Deal_Entity_Role="Consultant",Series5_State,IF(Series6_Deal_Entity_Role="Consultant",Series6_State,""))))))</f>
        <v/>
      </c>
      <c r="F42" s="206"/>
      <c r="G42" s="31" t="s">
        <v>56</v>
      </c>
      <c r="H42" s="68"/>
      <c r="K42" s="5"/>
      <c r="N42" s="5"/>
    </row>
    <row r="43" spans="2:17" x14ac:dyDescent="0.25">
      <c r="B43" s="206"/>
      <c r="C43" s="206"/>
      <c r="D43" s="206" t="s">
        <v>54</v>
      </c>
      <c r="E43" s="68" t="str">
        <f>IF(Series1_Deal_Entity_Role="Consultant",Series1_Zip_Code,IF(Series2_Deal_Entity_Role="Consultant",Series2_Zip_Code,IF(Series3_Deal_Entity_Role="Consultant",Series3_Zip_Code,IF(Series4_Deal_Entity_Role="Consultant",Series4_Zip_Code,IF(Series5_Deal_Entity_Role="Consultant",Series5_Zip_Code,IF(Series6_Deal_Entity_Role="Consultant",Series6_Zip_Code,""))))))</f>
        <v/>
      </c>
      <c r="F43" s="206"/>
      <c r="G43" s="31" t="s">
        <v>58</v>
      </c>
      <c r="H43" s="72"/>
      <c r="K43" s="5"/>
      <c r="N43" s="5"/>
    </row>
    <row r="44" spans="2:17" x14ac:dyDescent="0.25">
      <c r="B44" s="206"/>
      <c r="C44" s="206"/>
      <c r="D44" s="206" t="s">
        <v>55</v>
      </c>
      <c r="E44" s="236" t="str">
        <f>IF(Series1_Deal_Entity_Role="Consultant",Series1_Tax_ID_Number,IF(Series2_Deal_Entity_Role="Consultant",Series2_Tax_ID_Number,IF(Series3_Deal_Entity_Role="Consultant",Series3_Tax_ID_Number,IF(Series4_Deal_Entity_Role="Consultant",Series4_Tax_ID_Number,IF(Series5_Deal_Entity_Role="Consultant",Series5_Tax_ID_Number,IF(Series6_Deal_Entity_Role="Consultant",Series6_Tax_ID_Number,""))))))</f>
        <v/>
      </c>
      <c r="F44" s="206"/>
      <c r="G44" s="31" t="s">
        <v>60</v>
      </c>
      <c r="H44" s="68"/>
      <c r="K44" s="5"/>
      <c r="N44" s="5"/>
    </row>
    <row r="45" spans="2:17" x14ac:dyDescent="0.25">
      <c r="B45" s="206"/>
      <c r="C45" s="206"/>
      <c r="D45" s="206" t="s">
        <v>57</v>
      </c>
      <c r="E45" s="68"/>
      <c r="F45" s="206"/>
      <c r="H45" s="5"/>
      <c r="K45" s="5"/>
      <c r="N45" s="5"/>
    </row>
    <row r="46" spans="2:17" x14ac:dyDescent="0.25">
      <c r="B46" s="206"/>
      <c r="C46" s="206"/>
      <c r="D46" s="206" t="s">
        <v>59</v>
      </c>
      <c r="E46" s="69"/>
      <c r="F46" s="206"/>
      <c r="H46" s="5"/>
      <c r="K46" s="5"/>
      <c r="N46" s="5"/>
    </row>
    <row r="47" spans="2:17" x14ac:dyDescent="0.25">
      <c r="B47" s="206"/>
      <c r="C47" s="206"/>
      <c r="D47" s="85" t="s">
        <v>61</v>
      </c>
      <c r="E47" s="73"/>
      <c r="F47" s="206"/>
      <c r="H47" s="5"/>
      <c r="K47" s="5"/>
      <c r="N47" s="5"/>
    </row>
    <row r="48" spans="2:17" x14ac:dyDescent="0.25">
      <c r="B48" s="206"/>
      <c r="C48" s="206"/>
      <c r="D48" s="85"/>
      <c r="E48" s="209"/>
      <c r="F48" s="206"/>
      <c r="H48" s="5"/>
      <c r="K48" s="5"/>
      <c r="N48" s="5"/>
    </row>
    <row r="49" spans="2:16" ht="26.45" customHeight="1" x14ac:dyDescent="0.25">
      <c r="B49" s="206"/>
      <c r="C49" s="206"/>
      <c r="D49" s="293" t="s">
        <v>66</v>
      </c>
      <c r="E49" s="211"/>
      <c r="F49" s="206"/>
      <c r="H49" s="5"/>
      <c r="K49" s="5"/>
      <c r="N49" s="5"/>
      <c r="P49" s="65"/>
    </row>
    <row r="50" spans="2:16" x14ac:dyDescent="0.25">
      <c r="D50" s="293"/>
      <c r="H50" s="5"/>
      <c r="K50" s="5"/>
      <c r="N50" s="5"/>
      <c r="P50" s="65"/>
    </row>
    <row r="51" spans="2:16" x14ac:dyDescent="0.25">
      <c r="J51" s="10"/>
      <c r="K51" s="143"/>
      <c r="P51" s="77"/>
    </row>
    <row r="52" spans="2:16" ht="18" x14ac:dyDescent="0.25">
      <c r="B52" s="7" t="s">
        <v>67</v>
      </c>
      <c r="K52" s="5"/>
      <c r="P52" s="65"/>
    </row>
    <row r="53" spans="2:16" ht="18" x14ac:dyDescent="0.25">
      <c r="B53" s="213"/>
      <c r="C53" s="206"/>
      <c r="D53" s="206" t="s">
        <v>68</v>
      </c>
      <c r="E53" s="69"/>
      <c r="F53" s="288" t="s">
        <v>69</v>
      </c>
      <c r="G53" s="289"/>
      <c r="H53" s="69"/>
      <c r="I53" s="206" t="s">
        <v>70</v>
      </c>
      <c r="J53" s="68"/>
      <c r="K53" s="206"/>
      <c r="P53" s="65"/>
    </row>
    <row r="54" spans="2:16" x14ac:dyDescent="0.25">
      <c r="H54" s="74"/>
      <c r="I54" s="206"/>
      <c r="J54" s="206"/>
      <c r="P54" s="65"/>
    </row>
    <row r="55" spans="2:16" ht="15.75" x14ac:dyDescent="0.25">
      <c r="D55" s="206" t="s">
        <v>71</v>
      </c>
      <c r="E55" s="68" t="str">
        <f>IF(Series1_Deal_Entity_Role="General Contractor",Series1_Name__Doing_Business_As,IF(Series2_Deal_Entity_Role="General Contractor",Series2_Name__Doing_Business_As,IF(Series3_Deal_Entity_Role="General Contractor",Series3_Name__Doing_Business_As,IF(Series4_Deal_Entity_Role="General Contractor",Series4_Name__Doing_Business_As,IF(Series5_Deal_Entity_Role="General Contractor",Series5_Name__Doing_Business_As,IF(Series6_Deal_Entity_Role="General Contractor",Series6_Name__Doing_Business_As,""))))))</f>
        <v/>
      </c>
      <c r="G55" s="8" t="s">
        <v>49</v>
      </c>
      <c r="H55" s="74"/>
      <c r="I55" s="206"/>
      <c r="J55" s="206"/>
      <c r="P55" s="65"/>
    </row>
    <row r="56" spans="2:16" ht="14.25" customHeight="1" x14ac:dyDescent="0.25">
      <c r="D56" s="206" t="s">
        <v>25</v>
      </c>
      <c r="E56" s="68" t="str">
        <f>IF(Series1_Deal_Entity_Role="General Contractor",Series1_Address_1,IF(Series2_Deal_Entity_Role="General Contractor",Series2_Address_1,IF(Series3_Deal_Entity_Role="General Contractor",Series3_Address_1,IF(Series4_Deal_Entity_Role="General Contractor",Series4_Address_1,IF(Series5_Deal_Entity_Role="General Contractor",Series5_Address_1,IF(Series6_Deal_Entity_Role="General Contractor",Series6_Address_1,""))))))</f>
        <v/>
      </c>
      <c r="G56" s="5" t="s">
        <v>51</v>
      </c>
      <c r="H56" s="68"/>
      <c r="I56" s="206"/>
      <c r="J56" s="206"/>
      <c r="K56" s="5"/>
      <c r="P56" s="65"/>
    </row>
    <row r="57" spans="2:16" ht="14.25" customHeight="1" x14ac:dyDescent="0.25">
      <c r="D57" s="206" t="s">
        <v>26</v>
      </c>
      <c r="E57" s="68" t="str">
        <f>IF(Series1_Deal_Entity_Role="General Contractor",Series1_City,IF(Series2_Deal_Entity_Role="General Contractor",Series2_City,IF(Series3_Deal_Entity_Role="General Contractor",Series3_City,IF(Series4_Deal_Entity_Role="General Contractor",Series4_City,IF(Series5_Deal_Entity_Role="General Contractor",Series5_City,IF(Series6_Deal_Entity_Role="General Contractor",Series6_City,""))))))</f>
        <v/>
      </c>
      <c r="G57" s="5" t="s">
        <v>52</v>
      </c>
      <c r="H57" s="68"/>
      <c r="I57" s="206"/>
      <c r="J57" s="206"/>
      <c r="K57" s="5"/>
      <c r="P57" s="65"/>
    </row>
    <row r="58" spans="2:16" ht="14.25" customHeight="1" x14ac:dyDescent="0.25">
      <c r="D58" s="206" t="s">
        <v>15</v>
      </c>
      <c r="E58" s="68" t="str">
        <f>IF(Series1_Deal_Entity_Role="General Contractor",Series1_County,IF(Series2_Deal_Entity_Role="General Contractor",Series2_County,IF(Series3_Deal_Entity_Role="General Contractor",Series3_County,IF(Series4_Deal_Entity_Role="General Contractor",Series4_County,IF(Series5_Deal_Entity_Role="General Contractor",Series5_County,IF(Series6_Deal_Entity_Role="General Contractor",Series6_County,""))))))</f>
        <v/>
      </c>
      <c r="G58" s="5" t="s">
        <v>24</v>
      </c>
      <c r="H58" s="68"/>
      <c r="I58" s="206"/>
      <c r="J58" s="206"/>
      <c r="K58" s="5"/>
      <c r="P58" s="65"/>
    </row>
    <row r="59" spans="2:16" ht="14.25" customHeight="1" x14ac:dyDescent="0.25">
      <c r="D59" s="206" t="s">
        <v>27</v>
      </c>
      <c r="E59" s="68" t="str">
        <f>IF(Series1_Deal_Entity_Role="General Contractor",Series1_State,IF(Series2_Deal_Entity_Role="General Contractor",Series2_State,IF(Series3_Deal_Entity_Role="General Contractor",Series3_State,IF(Series4_Deal_Entity_Role="General Contractor",Series4_State,IF(Series5_Deal_Entity_Role="General Contractor",Series5_State,IF(Series6_Deal_Entity_Role="General Contractor",Series6_State,""))))))</f>
        <v/>
      </c>
      <c r="G59" s="5" t="s">
        <v>56</v>
      </c>
      <c r="H59" s="68" t="str">
        <f>IF(Series1_Deal_Entity_Role="General Contractor",Series1_Direct_Phone,IF(Series2_Deal_Entity_Role="General Contractor",Series2_Direct_Phone,IF(Series3_Deal_Entity_Role="General Contractor",Series3_Direct_Phone,IF(Series4_Deal_Entity_Role="General Contractor",Series4_Direct_Phone,IF(Series5_Deal_Entity_Role="General Contractor",Series5_Direct_Phone,IF(Series6_Deal_Entity_Role="General Contractor",Series6_Direct_Phone,""))))))</f>
        <v/>
      </c>
      <c r="I59" s="206"/>
      <c r="J59" s="206"/>
      <c r="K59" s="5"/>
      <c r="P59" s="65"/>
    </row>
    <row r="60" spans="2:16" ht="14.25" customHeight="1" x14ac:dyDescent="0.25">
      <c r="D60" s="206" t="s">
        <v>54</v>
      </c>
      <c r="E60" s="68" t="str">
        <f>IF(Series1_Deal_Entity_Role="General Contractor",Series1_Zip_Code,IF(Series2_Deal_Entity_Role="General Contractor",Series2_Zip_Code,IF(Series3_Deal_Entity_Role="General Contractor",Series3_Zip_Code,IF(Series4_Deal_Entity_Role="General Contractor",Series4_Zip_Code,IF(Series5_Deal_Entity_Role="General Contractor",Series5_Zip_Code,IF(Series6_Deal_Entity_Role="General Contractor",Series6_Zip_Code,""))))))</f>
        <v/>
      </c>
      <c r="G60" s="5" t="s">
        <v>58</v>
      </c>
      <c r="H60" s="72"/>
      <c r="I60" s="206"/>
      <c r="J60" s="206"/>
      <c r="K60" s="5"/>
    </row>
    <row r="61" spans="2:16" ht="14.25" customHeight="1" x14ac:dyDescent="0.25">
      <c r="D61" s="206" t="s">
        <v>706</v>
      </c>
      <c r="E61" s="69"/>
      <c r="G61" s="5" t="s">
        <v>60</v>
      </c>
      <c r="H61" s="68" t="str">
        <f>IF(Series1_Deal_Entity_Role="General Contractor",Series1_Email_Address_1,IF(Series2_Deal_Entity_Role="General Contractor",Series2_Email_Address_1,IF(Series3_Deal_Entity_Role="General Contractor",Series3_Email_Address_1,IF(Series4_Deal_Entity_Role="General Contractor",Series4_Email_Address_1,IF(Series5_Deal_Entity_Role="General Contractor",Series5_Email_Address_1,IF(Series6_Deal_Entity_Role="General Contractor",Series6_Email_Address_1,""))))))</f>
        <v/>
      </c>
      <c r="I61" s="206"/>
      <c r="J61" s="206"/>
      <c r="K61" s="5"/>
    </row>
    <row r="62" spans="2:16" ht="14.25" customHeight="1" x14ac:dyDescent="0.25">
      <c r="D62" s="206" t="s">
        <v>55</v>
      </c>
      <c r="E62" s="236" t="str">
        <f>IF(Series1_Deal_Entity_Role="General Contractor",Series1_Tax_ID_Number,IF(Series2_Deal_Entity_Role="General Contractor",Series2_Tax_ID_Number,IF(Series3_Deal_Entity_Role="General Contractor",Series3_Tax_ID_Number,IF(Series4_Deal_Entity_Role="General Contractor",Series4_Tax_ID_Number,IF(Series5_Deal_Entity_Role="General Contractor",Series5_Tax_ID_Number,IF(Series6_Deal_Entity_Role="General Contractor",Series6_Tax_ID_Number,""))))))</f>
        <v/>
      </c>
      <c r="H62" s="74"/>
      <c r="I62" s="206"/>
      <c r="J62" s="206"/>
      <c r="K62" s="5"/>
    </row>
    <row r="63" spans="2:16" ht="14.25" customHeight="1" x14ac:dyDescent="0.25">
      <c r="D63" s="206" t="s">
        <v>57</v>
      </c>
      <c r="E63" s="68"/>
      <c r="F63" s="292" t="s">
        <v>72</v>
      </c>
      <c r="G63" s="292"/>
      <c r="H63" s="69"/>
      <c r="I63" s="206"/>
      <c r="J63" s="206"/>
      <c r="K63" s="5"/>
    </row>
    <row r="64" spans="2:16" ht="15" customHeight="1" x14ac:dyDescent="0.25">
      <c r="D64" s="206"/>
      <c r="E64" s="74"/>
      <c r="F64" s="292"/>
      <c r="G64" s="292"/>
      <c r="K64" s="5"/>
    </row>
    <row r="67" spans="2:10" ht="18" x14ac:dyDescent="0.25">
      <c r="B67" s="7" t="s">
        <v>73</v>
      </c>
    </row>
    <row r="68" spans="2:10" ht="18" x14ac:dyDescent="0.25">
      <c r="B68" s="213"/>
      <c r="C68" s="206"/>
      <c r="D68" s="206" t="s">
        <v>68</v>
      </c>
      <c r="E68" s="69"/>
      <c r="F68" s="288" t="s">
        <v>69</v>
      </c>
      <c r="G68" s="289"/>
      <c r="H68" s="69"/>
      <c r="I68" s="206" t="s">
        <v>70</v>
      </c>
      <c r="J68" s="68"/>
    </row>
    <row r="69" spans="2:10" x14ac:dyDescent="0.25">
      <c r="B69" s="206"/>
      <c r="C69" s="206"/>
      <c r="D69" s="206"/>
      <c r="E69" s="74"/>
      <c r="F69" s="206"/>
      <c r="G69" s="206"/>
      <c r="H69" s="74"/>
      <c r="I69" s="206"/>
      <c r="J69" s="206"/>
    </row>
    <row r="70" spans="2:10" ht="15.75" x14ac:dyDescent="0.25">
      <c r="D70" s="206" t="s">
        <v>74</v>
      </c>
      <c r="E70" s="68" t="str">
        <f>IF(Series1_Deal_Entity_Role="Management Agent",Series1_Name__Doing_Business_As,IF(Series2_Deal_Entity_Role="Management Agent",Series2_Name__Doing_Business_As,IF(Series3_Deal_Entity_Role="Management Agent",Series3_Name__Doing_Business_As,IF(Series4_Deal_Entity_Role="Management Agent",Series4_Name__Doing_Business_As,IF(Series5_Deal_Entity_Role="Management Agent",Series5_Name__Doing_Business_As,IF(Series6_Deal_Entity_Role="Management Agent",Series6_Name__Doing_Business_As,""))))))</f>
        <v/>
      </c>
      <c r="G70" s="8" t="s">
        <v>49</v>
      </c>
    </row>
    <row r="71" spans="2:10" x14ac:dyDescent="0.25">
      <c r="D71" s="206" t="s">
        <v>25</v>
      </c>
      <c r="E71" s="68" t="str">
        <f>IF(Series1_Deal_Entity_Role="Management Agent",Series1_Address_1,IF(Series2_Deal_Entity_Role="Management Agent",Series2_Address_1,IF(Series3_Deal_Entity_Role="Management Agent",Series3_Address_1,IF(Series4_Deal_Entity_Role="Management Agent",Series4_Address_1,IF(Series5_Deal_Entity_Role="Management Agent",Series5_Address_1,IF(Series6_Deal_Entity_Role="Management Agent",Series6_Address_1,""))))))</f>
        <v/>
      </c>
      <c r="G71" s="206" t="s">
        <v>51</v>
      </c>
      <c r="H71" s="68"/>
    </row>
    <row r="72" spans="2:10" x14ac:dyDescent="0.25">
      <c r="D72" s="206" t="s">
        <v>26</v>
      </c>
      <c r="E72" s="68" t="str">
        <f>IF(Series1_Deal_Entity_Role="Management Agent",Series1_City,IF(Series2_Deal_Entity_Role="Management Agent",Series2_City,IF(Series3_Deal_Entity_Role="Management Agent",Series3_City,IF(Series4_Deal_Entity_Role="Management Agent",Series4_City,IF(Series5_Deal_Entity_Role="Management Agent",Series5_City,IF(Series6_Deal_Entity_Role="Management Agent",Series6_City,""))))))</f>
        <v/>
      </c>
      <c r="G72" s="206" t="s">
        <v>52</v>
      </c>
      <c r="H72" s="68"/>
    </row>
    <row r="73" spans="2:10" x14ac:dyDescent="0.25">
      <c r="D73" s="206" t="s">
        <v>15</v>
      </c>
      <c r="E73" s="68" t="str">
        <f>IF(Series1_Deal_Entity_Role="Management Agent",Series1_County,IF(Series2_Deal_Entity_Role="Management Agent",Series2_County,IF(Series3_Deal_Entity_Role="Management Agent",Series3_County,IF(Series4_Deal_Entity_Role="Management Agent",Series4_County,IF(Series5_Deal_Entity_Role="Management Agent",Series5_County,IF(Series6_Deal_Entity_Role="Management Agent",Series6_County,""))))))</f>
        <v/>
      </c>
      <c r="G73" s="206" t="s">
        <v>24</v>
      </c>
      <c r="H73" s="68"/>
    </row>
    <row r="74" spans="2:10" x14ac:dyDescent="0.25">
      <c r="D74" s="206" t="s">
        <v>27</v>
      </c>
      <c r="E74" s="68" t="str">
        <f>IF(Series1_Deal_Entity_Role="Management Agent",Series1_State,IF(Series2_Deal_Entity_Role="Management Agent",Series2_State,IF(Series3_Deal_Entity_Role="Management Agent",Series3_State,IF(Series4_Deal_Entity_Role="Management Agent",Series4_State,IF(Series5_Deal_Entity_Role="Management Agent",Series5_State,IF(Series6_Deal_Entity_Role="Management Agent",Series6_State,""))))))</f>
        <v/>
      </c>
      <c r="G74" s="206" t="s">
        <v>56</v>
      </c>
      <c r="H74" s="68" t="str">
        <f>IF(Series1_Deal_Entity_Role="Management Agent",Series1_Direct_Phone,IF(Series2_Deal_Entity_Role="Management Agent",Series2_Direct_Phone,IF(Series3_Deal_Entity_Role="Management Agent",Series3_Direct_Phone,IF(Series4_Deal_Entity_Role="Management Agent",Series4_Direct_Phone,IF(Series5_Deal_Entity_Role="Management Agent",Series5_Direct_Phone,IF(Series6_Deal_Entity_Role="Management Agent",Series6_Direct_Phone,""))))))</f>
        <v/>
      </c>
    </row>
    <row r="75" spans="2:10" x14ac:dyDescent="0.25">
      <c r="D75" s="206" t="s">
        <v>54</v>
      </c>
      <c r="E75" s="68" t="str">
        <f>IF(Series1_Deal_Entity_Role="Management Agent",Series1_Zip_Code,IF(Series2_Deal_Entity_Role="Management Agent",Series2_Zip_Code,IF(Series3_Deal_Entity_Role="Management Agent",Series3_Zip_Code,IF(Series4_Deal_Entity_Role="Management Agent",Series4_Zip_Code,IF(Series5_Deal_Entity_Role="Management Agent",Series5_Zip_Code,IF(Series6_Deal_Entity_Role="Management Agent",Series6_Zip_Code,""))))))</f>
        <v/>
      </c>
      <c r="G75" s="206" t="s">
        <v>60</v>
      </c>
      <c r="H75" s="68" t="str">
        <f>IF(Series1_Deal_Entity_Role="Management Agent",Series1_Email_Address_1,IF(Series2_Deal_Entity_Role="Management Agent",Series2_Email_Address_1,IF(Series3_Deal_Entity_Role="Management Agent",Series3_Email_Address_1,IF(Series4_Deal_Entity_Role="Management Agent",Series4_Email_Address_1,IF(Series5_Deal_Entity_Role="Management Agent",Series5_Email_Address_1,IF(Series6_Deal_Entity_Role="Management Agent",Series6_Email_Address_1,""))))))</f>
        <v/>
      </c>
    </row>
    <row r="76" spans="2:10" x14ac:dyDescent="0.25">
      <c r="D76" s="206" t="s">
        <v>706</v>
      </c>
      <c r="E76" s="69"/>
      <c r="G76" s="206"/>
      <c r="H76" s="214"/>
    </row>
    <row r="77" spans="2:10" x14ac:dyDescent="0.25">
      <c r="D77" s="206" t="s">
        <v>55</v>
      </c>
      <c r="E77" s="236" t="str">
        <f>IF(Series1_Deal_Entity_Role="Management Agent",Series1_Tax_ID_Number,IF(Series2_Deal_Entity_Role="Management Agent",Series2_Tax_ID_Number,IF(Series3_Deal_Entity_Role="Management Agent",Series3_Tax_ID_Number,IF(Series4_Deal_Entity_Role="Management Agent",Series4_Tax_ID_Number,IF(Series5_Deal_Entity_Role="Management Agent",Series5_Tax_ID_Number,IF(Series6_Deal_Entity_Role="Management Agent",Series6_Tax_ID_Number,""))))))</f>
        <v/>
      </c>
      <c r="G77" s="206"/>
      <c r="H77" s="74"/>
    </row>
    <row r="78" spans="2:10" x14ac:dyDescent="0.25">
      <c r="D78" s="206" t="s">
        <v>57</v>
      </c>
      <c r="E78" s="68"/>
    </row>
    <row r="81" spans="2:13" ht="18" x14ac:dyDescent="0.25">
      <c r="B81" s="7" t="s">
        <v>75</v>
      </c>
    </row>
    <row r="82" spans="2:13" ht="18" x14ac:dyDescent="0.25">
      <c r="B82" s="7"/>
      <c r="D82" s="206" t="s">
        <v>68</v>
      </c>
      <c r="E82" s="69"/>
      <c r="F82" s="288" t="s">
        <v>69</v>
      </c>
      <c r="G82" s="289"/>
      <c r="H82" s="69"/>
      <c r="I82" s="206" t="s">
        <v>70</v>
      </c>
      <c r="J82" s="68"/>
    </row>
    <row r="83" spans="2:13" x14ac:dyDescent="0.25">
      <c r="D83" s="206"/>
      <c r="E83" s="74"/>
      <c r="F83" s="206"/>
      <c r="G83" s="206"/>
      <c r="H83" s="74"/>
      <c r="I83" s="206"/>
      <c r="J83" s="206"/>
    </row>
    <row r="84" spans="2:13" ht="15.75" x14ac:dyDescent="0.25">
      <c r="D84" s="206" t="s">
        <v>76</v>
      </c>
      <c r="E84" s="68" t="str">
        <f>IF(Series1_Deal_Entity_Role="Architect",Series1_Name__Doing_Business_As,IF(Series2_Deal_Entity_Role="Architect",Series2_Name__Doing_Business_As,IF(Series3_Deal_Entity_Role="Architect",Series3_Name__Doing_Business_As,IF(Series4_Deal_Entity_Role="Architect",Series4_Name__Doing_Business_As,IF(Series5_Deal_Entity_Role="Architect",Series5_Name__Doing_Business_As,IF(Series6_Deal_Entity_Role="Architect",Series6_Name__Doing_Business_As,""))))))</f>
        <v/>
      </c>
      <c r="G84" s="8" t="s">
        <v>49</v>
      </c>
    </row>
    <row r="85" spans="2:13" x14ac:dyDescent="0.25">
      <c r="D85" s="206" t="s">
        <v>25</v>
      </c>
      <c r="E85" s="68" t="str">
        <f>IF(Series1_Deal_Entity_Role="Architect",Series1_Address_1,IF(Series2_Deal_Entity_Role="Architect",Series2_Address_1,IF(Series3_Deal_Entity_Role="Architect",Series3_Address_1,IF(Series4_Deal_Entity_Role="Architect",Series4_Address_1,IF(Series5_Deal_Entity_Role="Architect",Series5_Address_1,IF(Series6_Deal_Entity_Role="Architect",Series6_Address_1,""))))))</f>
        <v/>
      </c>
      <c r="G85" s="206" t="s">
        <v>51</v>
      </c>
      <c r="H85" s="68"/>
    </row>
    <row r="86" spans="2:13" x14ac:dyDescent="0.25">
      <c r="D86" s="206" t="s">
        <v>26</v>
      </c>
      <c r="E86" s="68" t="str">
        <f>IF(Series1_Deal_Entity_Role="Architect",Series1_City,IF(Series2_Deal_Entity_Role="Architect",Series2_City,IF(Series3_Deal_Entity_Role="Architect",Series3_City,IF(Series4_Deal_Entity_Role="Architect",Series4_City,IF(Series5_Deal_Entity_Role="Architect",Series5_City,IF(Series6_Deal_Entity_Role="Architect",Series6_City,""))))))</f>
        <v/>
      </c>
      <c r="G86" s="206" t="s">
        <v>52</v>
      </c>
      <c r="H86" s="68"/>
    </row>
    <row r="87" spans="2:13" x14ac:dyDescent="0.25">
      <c r="D87" s="206" t="s">
        <v>27</v>
      </c>
      <c r="E87" s="68" t="str">
        <f>IF(Series1_Deal_Entity_Role="Architect",Series1_State,IF(Series2_Deal_Entity_Role="Architect",Series2_State,IF(Series3_Deal_Entity_Role="Architect",Series3_State,IF(Series4_Deal_Entity_Role="Architect",Series4_State,IF(Series5_Deal_Entity_Role="Architect",Series5_State,IF(Series6_Deal_Entity_Role="Architect",Series6_State,""))))))</f>
        <v/>
      </c>
      <c r="G87" s="206" t="s">
        <v>24</v>
      </c>
      <c r="H87" s="68"/>
    </row>
    <row r="88" spans="2:13" x14ac:dyDescent="0.25">
      <c r="D88" s="206" t="s">
        <v>54</v>
      </c>
      <c r="E88" s="68" t="str">
        <f>IF(Series1_Deal_Entity_Role="Architect",Series1_Zip_Code,IF(Series2_Deal_Entity_Role="Architect",Series2_Zip_Code,IF(Series3_Deal_Entity_Role="Architect",Series3_Zip_Code,IF(Series4_Deal_Entity_Role="Architect",Series4_Zip_Code,IF(Series5_Deal_Entity_Role="Architect",Series5_Zip_Code,IF(Series6_Deal_Entity_Role="Architect",Series6_Zip_Code,""))))))</f>
        <v/>
      </c>
      <c r="G88" s="206" t="s">
        <v>56</v>
      </c>
      <c r="H88" s="68" t="str">
        <f>IF(Series1_Deal_Entity_Role="Architect",Series1_Direct_Phone,IF(Series2_Deal_Entity_Role="Architect",Series2_Direct_Phone,IF(Series3_Deal_Entity_Role="Architect",Series3_Direct_Phone,IF(Series4_Deal_Entity_Role="Architect",Series4_Direct_Phone,IF(Series5_Deal_Entity_Role="Architect",Series5_Direct_Phone,IF(Series6_Deal_Entity_Role="Architect",Series6_Direct_Phone,""))))))</f>
        <v/>
      </c>
    </row>
    <row r="89" spans="2:13" x14ac:dyDescent="0.25">
      <c r="D89" s="206" t="s">
        <v>706</v>
      </c>
      <c r="E89" s="69"/>
      <c r="G89" s="206"/>
      <c r="H89" s="68"/>
    </row>
    <row r="90" spans="2:13" s="6" customFormat="1" x14ac:dyDescent="0.25">
      <c r="B90" s="5"/>
      <c r="C90" s="5"/>
      <c r="D90" s="206" t="s">
        <v>55</v>
      </c>
      <c r="E90" s="236" t="str">
        <f>IF(Series1_Deal_Entity_Role="Architect",Series1_Tax_ID_Number,IF(Series2_Deal_Entity_Role="Architect",Series2_Tax_ID_Number,IF(Series3_Deal_Entity_Role="Architect",Series3_Tax_ID_Number,IF(Series4_Deal_Entity_Role="Architect",Series4_Tax_ID_Number,IF(Series5_Deal_Entity_Role="Architect",Series5_Tax_ID_Number,IF(Series6_Deal_Entity_Role="Architect",Series6_Tax_ID_Number,""))))))</f>
        <v/>
      </c>
      <c r="F90" s="5"/>
      <c r="G90" s="206" t="s">
        <v>60</v>
      </c>
      <c r="H90" s="68" t="str">
        <f>IF(Series1_Deal_Entity_Role="Architect",Series1_Email_Address_1,IF(Series2_Deal_Entity_Role="Architect",Series2_Email_Address_1,IF(Series3_Deal_Entity_Role="Architect",Series3_Email_Address_1,IF(Series4_Deal_Entity_Role="Architect",Series4_Email_Address_1,IF(Series5_Deal_Entity_Role="Architect",Series5_Email_Address_1,IF(Series6_Deal_Entity_Role="Architect",Series6_Email_Address_1,""))))))</f>
        <v/>
      </c>
      <c r="I90" s="5"/>
      <c r="J90" s="5"/>
      <c r="L90" s="5"/>
      <c r="M90" s="5"/>
    </row>
    <row r="91" spans="2:13" s="6" customFormat="1" x14ac:dyDescent="0.25">
      <c r="B91" s="5"/>
      <c r="C91" s="5"/>
      <c r="D91" s="206" t="s">
        <v>57</v>
      </c>
      <c r="E91" s="68"/>
      <c r="F91" s="5"/>
      <c r="G91" s="206"/>
      <c r="H91" s="74"/>
      <c r="I91" s="5"/>
      <c r="J91" s="5"/>
      <c r="L91" s="5"/>
      <c r="M91" s="5"/>
    </row>
    <row r="92" spans="2:13" s="11" customFormat="1" ht="18" x14ac:dyDescent="0.25">
      <c r="B92" s="12"/>
      <c r="C92" s="9"/>
      <c r="D92" s="9"/>
      <c r="F92" s="9"/>
      <c r="G92" s="9"/>
      <c r="I92" s="9"/>
      <c r="J92" s="9"/>
      <c r="L92" s="9"/>
      <c r="M92" s="9"/>
    </row>
    <row r="93" spans="2:13" s="137" customFormat="1" ht="7.5" customHeight="1" x14ac:dyDescent="0.25">
      <c r="C93" s="138"/>
      <c r="D93" s="139"/>
      <c r="E93" s="140"/>
    </row>
    <row r="94" spans="2:13" s="83" customFormat="1" ht="33.75" customHeight="1" x14ac:dyDescent="0.25">
      <c r="B94" s="141"/>
      <c r="C94" s="82"/>
    </row>
    <row r="95" spans="2:13" s="11" customFormat="1" ht="15.75" x14ac:dyDescent="0.25">
      <c r="B95" s="9"/>
      <c r="C95" s="9"/>
      <c r="D95" s="9"/>
      <c r="E95" s="41"/>
      <c r="F95" s="9"/>
      <c r="G95" s="13"/>
      <c r="I95" s="9"/>
      <c r="J95" s="9"/>
      <c r="L95" s="9"/>
      <c r="M95" s="9"/>
    </row>
    <row r="96" spans="2:13" s="11" customFormat="1" x14ac:dyDescent="0.25">
      <c r="B96" s="9"/>
      <c r="C96" s="9"/>
      <c r="D96" s="9"/>
      <c r="E96" s="41"/>
      <c r="F96" s="9"/>
      <c r="G96" s="9"/>
      <c r="H96" s="41"/>
      <c r="I96" s="9"/>
      <c r="J96" s="9"/>
      <c r="L96" s="9"/>
      <c r="M96" s="9"/>
    </row>
    <row r="97" spans="2:17" s="11" customFormat="1" x14ac:dyDescent="0.25">
      <c r="B97" s="9"/>
      <c r="C97" s="9"/>
      <c r="D97" s="9"/>
      <c r="E97" s="144"/>
      <c r="F97" s="9"/>
      <c r="G97" s="9"/>
      <c r="H97" s="41"/>
      <c r="I97" s="9"/>
      <c r="J97" s="9"/>
      <c r="L97" s="9"/>
      <c r="M97" s="9"/>
    </row>
    <row r="98" spans="2:17" s="11" customFormat="1" x14ac:dyDescent="0.25">
      <c r="B98" s="9"/>
      <c r="C98" s="9"/>
      <c r="D98" s="9"/>
      <c r="E98" s="143"/>
      <c r="F98" s="9"/>
      <c r="G98" s="9"/>
      <c r="H98" s="41"/>
      <c r="I98" s="9"/>
      <c r="J98" s="9"/>
      <c r="L98" s="9"/>
      <c r="M98" s="9"/>
    </row>
    <row r="99" spans="2:17" s="11" customFormat="1" x14ac:dyDescent="0.25">
      <c r="B99" s="9"/>
      <c r="C99" s="9"/>
      <c r="D99" s="9"/>
      <c r="F99" s="9"/>
      <c r="G99" s="9"/>
      <c r="H99" s="142"/>
      <c r="I99" s="9"/>
      <c r="J99" s="9"/>
      <c r="L99" s="9"/>
      <c r="M99" s="9"/>
    </row>
    <row r="100" spans="2:17" s="11" customFormat="1" x14ac:dyDescent="0.25">
      <c r="B100" s="9"/>
      <c r="C100" s="9"/>
      <c r="D100" s="9"/>
      <c r="F100" s="9"/>
      <c r="G100" s="9"/>
      <c r="H100" s="41"/>
      <c r="I100" s="9"/>
      <c r="J100" s="9"/>
      <c r="L100" s="9"/>
      <c r="M100" s="9"/>
      <c r="O100" s="9"/>
      <c r="P100" s="9"/>
      <c r="Q100" s="9"/>
    </row>
    <row r="101" spans="2:17" s="9" customFormat="1" x14ac:dyDescent="0.25">
      <c r="E101" s="11"/>
      <c r="H101" s="11"/>
      <c r="K101" s="11"/>
      <c r="N101" s="11"/>
    </row>
    <row r="102" spans="2:17" s="11" customFormat="1" ht="18" x14ac:dyDescent="0.25">
      <c r="B102" s="12"/>
      <c r="C102" s="9"/>
      <c r="D102" s="9"/>
      <c r="F102" s="9"/>
      <c r="G102" s="9"/>
      <c r="I102" s="9"/>
      <c r="J102" s="9"/>
      <c r="L102" s="9"/>
      <c r="M102" s="9"/>
    </row>
    <row r="103" spans="2:17" s="9" customFormat="1" x14ac:dyDescent="0.25">
      <c r="E103" s="11"/>
      <c r="H103" s="11"/>
      <c r="K103" s="11"/>
      <c r="N103" s="11"/>
    </row>
    <row r="104" spans="2:17" s="32" customFormat="1" x14ac:dyDescent="0.25">
      <c r="D104" s="66"/>
      <c r="E104" s="66"/>
      <c r="F104" s="290"/>
      <c r="G104" s="290"/>
      <c r="H104" s="66"/>
      <c r="I104" s="291"/>
      <c r="J104" s="291"/>
    </row>
    <row r="105" spans="2:17" s="11" customFormat="1" x14ac:dyDescent="0.25">
      <c r="B105" s="9"/>
      <c r="C105" s="9"/>
      <c r="F105" s="286"/>
      <c r="G105" s="286"/>
      <c r="H105" s="145"/>
      <c r="I105" s="287"/>
      <c r="J105" s="287"/>
      <c r="L105" s="9"/>
      <c r="M105" s="9"/>
    </row>
    <row r="106" spans="2:17" s="11" customFormat="1" x14ac:dyDescent="0.25">
      <c r="B106" s="9"/>
      <c r="C106" s="9"/>
      <c r="F106" s="286"/>
      <c r="G106" s="286"/>
      <c r="H106" s="145"/>
      <c r="I106" s="287"/>
      <c r="J106" s="287"/>
      <c r="L106" s="9"/>
      <c r="M106" s="9"/>
    </row>
    <row r="107" spans="2:17" s="11" customFormat="1" x14ac:dyDescent="0.25">
      <c r="B107" s="9"/>
      <c r="C107" s="9"/>
      <c r="F107" s="286"/>
      <c r="G107" s="286"/>
      <c r="H107" s="145"/>
      <c r="I107" s="287"/>
      <c r="J107" s="287"/>
      <c r="L107" s="9"/>
      <c r="M107" s="9"/>
    </row>
    <row r="108" spans="2:17" s="11" customFormat="1" x14ac:dyDescent="0.25">
      <c r="B108" s="9"/>
      <c r="C108" s="9"/>
      <c r="F108" s="286"/>
      <c r="G108" s="286"/>
      <c r="H108" s="145"/>
      <c r="I108" s="286"/>
      <c r="J108" s="286"/>
      <c r="L108" s="9"/>
      <c r="M108" s="9"/>
    </row>
    <row r="109" spans="2:17" s="11" customFormat="1" x14ac:dyDescent="0.25">
      <c r="B109" s="9"/>
      <c r="C109" s="9"/>
      <c r="F109" s="286"/>
      <c r="G109" s="286"/>
      <c r="H109" s="145"/>
      <c r="I109" s="287"/>
      <c r="J109" s="287"/>
      <c r="L109" s="9"/>
      <c r="M109" s="9"/>
    </row>
    <row r="110" spans="2:17" s="11" customFormat="1" x14ac:dyDescent="0.25">
      <c r="B110" s="9"/>
      <c r="C110" s="9"/>
      <c r="F110" s="286"/>
      <c r="G110" s="286"/>
      <c r="H110" s="145"/>
      <c r="I110" s="287"/>
      <c r="J110" s="287"/>
      <c r="L110" s="9"/>
      <c r="M110" s="9"/>
    </row>
    <row r="111" spans="2:17" s="11" customFormat="1" x14ac:dyDescent="0.25">
      <c r="B111" s="9"/>
      <c r="C111" s="9"/>
      <c r="F111" s="286"/>
      <c r="G111" s="286"/>
      <c r="H111" s="145"/>
      <c r="I111" s="287"/>
      <c r="J111" s="287"/>
      <c r="L111" s="9"/>
      <c r="M111" s="9"/>
    </row>
    <row r="112" spans="2:17" s="11" customFormat="1" x14ac:dyDescent="0.25">
      <c r="B112" s="9"/>
      <c r="C112" s="9"/>
      <c r="F112" s="286"/>
      <c r="G112" s="286"/>
      <c r="H112" s="145"/>
      <c r="I112" s="287"/>
      <c r="J112" s="287"/>
      <c r="L112" s="9"/>
      <c r="M112" s="9"/>
    </row>
    <row r="113" spans="2:13" s="11" customFormat="1" x14ac:dyDescent="0.25">
      <c r="B113" s="9"/>
      <c r="C113" s="9"/>
      <c r="F113" s="286"/>
      <c r="G113" s="286"/>
      <c r="H113" s="145"/>
      <c r="I113" s="287"/>
      <c r="J113" s="287"/>
      <c r="L113" s="9"/>
      <c r="M113" s="9"/>
    </row>
    <row r="114" spans="2:13" s="11" customFormat="1" x14ac:dyDescent="0.25">
      <c r="B114" s="9"/>
      <c r="C114" s="9"/>
      <c r="F114" s="286"/>
      <c r="G114" s="286"/>
      <c r="H114" s="145"/>
      <c r="I114" s="287"/>
      <c r="J114" s="287"/>
      <c r="L114" s="9"/>
      <c r="M114" s="9"/>
    </row>
    <row r="115" spans="2:13" s="11" customFormat="1" x14ac:dyDescent="0.25">
      <c r="B115" s="9"/>
      <c r="C115" s="9"/>
      <c r="F115" s="286"/>
      <c r="G115" s="286"/>
      <c r="H115" s="145"/>
      <c r="I115" s="287"/>
      <c r="J115" s="287"/>
      <c r="L115" s="9"/>
      <c r="M115" s="9"/>
    </row>
    <row r="116" spans="2:13" s="11" customFormat="1" x14ac:dyDescent="0.25">
      <c r="B116" s="9"/>
      <c r="C116" s="9"/>
      <c r="F116" s="286"/>
      <c r="G116" s="286"/>
      <c r="H116" s="145"/>
      <c r="I116" s="287"/>
      <c r="J116" s="287"/>
      <c r="L116" s="9"/>
      <c r="M116" s="9"/>
    </row>
    <row r="117" spans="2:13" s="11" customFormat="1" x14ac:dyDescent="0.25">
      <c r="B117" s="9"/>
      <c r="C117" s="9"/>
      <c r="F117" s="286"/>
      <c r="G117" s="286"/>
      <c r="H117" s="145"/>
      <c r="I117" s="287"/>
      <c r="J117" s="287"/>
      <c r="L117" s="9"/>
      <c r="M117" s="9"/>
    </row>
    <row r="118" spans="2:13" s="11" customFormat="1" x14ac:dyDescent="0.25">
      <c r="B118" s="9"/>
      <c r="C118" s="9"/>
      <c r="F118" s="286"/>
      <c r="G118" s="286"/>
      <c r="H118" s="145"/>
      <c r="I118" s="287"/>
      <c r="J118" s="287"/>
      <c r="L118" s="9"/>
      <c r="M118" s="9"/>
    </row>
    <row r="119" spans="2:13" s="11" customFormat="1" x14ac:dyDescent="0.25">
      <c r="B119" s="9"/>
      <c r="C119" s="9"/>
      <c r="F119" s="286"/>
      <c r="G119" s="286"/>
      <c r="H119" s="145"/>
      <c r="I119" s="286"/>
      <c r="J119" s="286"/>
      <c r="L119" s="9"/>
      <c r="M119" s="9"/>
    </row>
    <row r="120" spans="2:13" s="11" customFormat="1" x14ac:dyDescent="0.25">
      <c r="B120" s="9"/>
      <c r="C120" s="9"/>
      <c r="F120" s="286"/>
      <c r="G120" s="286"/>
      <c r="H120" s="145"/>
      <c r="I120" s="286"/>
      <c r="J120" s="286"/>
      <c r="L120" s="9"/>
      <c r="M120" s="9"/>
    </row>
    <row r="121" spans="2:13" s="11" customFormat="1" x14ac:dyDescent="0.25">
      <c r="B121" s="9"/>
      <c r="C121" s="9"/>
      <c r="F121" s="286"/>
      <c r="G121" s="286"/>
      <c r="H121" s="145"/>
      <c r="I121" s="286"/>
      <c r="J121" s="286"/>
      <c r="L121" s="9"/>
      <c r="M121" s="9"/>
    </row>
    <row r="122" spans="2:13" s="11" customFormat="1" x14ac:dyDescent="0.25">
      <c r="B122" s="9"/>
      <c r="C122" s="9"/>
      <c r="F122" s="286"/>
      <c r="G122" s="286"/>
      <c r="H122" s="145"/>
      <c r="I122" s="286"/>
      <c r="J122" s="286"/>
      <c r="L122" s="9"/>
      <c r="M122" s="9"/>
    </row>
    <row r="123" spans="2:13" s="11" customFormat="1" x14ac:dyDescent="0.25">
      <c r="B123" s="9"/>
      <c r="C123" s="9"/>
      <c r="F123" s="286"/>
      <c r="G123" s="286"/>
      <c r="H123" s="145"/>
      <c r="I123" s="286"/>
      <c r="J123" s="286"/>
      <c r="L123" s="9"/>
      <c r="M123" s="9"/>
    </row>
    <row r="124" spans="2:13" s="11" customFormat="1" x14ac:dyDescent="0.25">
      <c r="B124" s="9"/>
      <c r="C124" s="9"/>
      <c r="F124" s="286"/>
      <c r="G124" s="286"/>
      <c r="H124" s="145"/>
      <c r="I124" s="286"/>
      <c r="J124" s="286"/>
      <c r="L124" s="9"/>
      <c r="M124" s="9"/>
    </row>
    <row r="125" spans="2:13" s="6" customFormat="1" x14ac:dyDescent="0.25">
      <c r="B125" s="5"/>
      <c r="C125" s="5"/>
      <c r="D125" s="5"/>
      <c r="E125" s="5"/>
      <c r="F125" s="5"/>
      <c r="G125" s="5"/>
      <c r="H125" s="5"/>
      <c r="I125" s="5"/>
      <c r="J125" s="5"/>
      <c r="L125" s="5"/>
      <c r="M125" s="5"/>
    </row>
    <row r="130" spans="8:14" x14ac:dyDescent="0.25">
      <c r="H130" s="5"/>
      <c r="J130" s="6"/>
      <c r="K130" s="5"/>
      <c r="M130" s="6"/>
      <c r="N130" s="5"/>
    </row>
    <row r="131" spans="8:14" x14ac:dyDescent="0.25">
      <c r="H131" s="5"/>
      <c r="J131" s="6"/>
      <c r="K131" s="5"/>
      <c r="M131" s="6"/>
      <c r="N131" s="5"/>
    </row>
    <row r="132" spans="8:14" x14ac:dyDescent="0.25">
      <c r="H132" s="5"/>
      <c r="J132" s="6"/>
      <c r="K132" s="5"/>
      <c r="M132" s="6"/>
      <c r="N132" s="5"/>
    </row>
    <row r="133" spans="8:14" x14ac:dyDescent="0.25">
      <c r="H133" s="5"/>
      <c r="J133" s="6"/>
      <c r="K133" s="5"/>
      <c r="M133" s="6"/>
      <c r="N133" s="5"/>
    </row>
    <row r="134" spans="8:14" x14ac:dyDescent="0.25">
      <c r="H134" s="5"/>
      <c r="J134" s="6"/>
      <c r="K134" s="5"/>
      <c r="M134" s="6"/>
      <c r="N134" s="5"/>
    </row>
    <row r="135" spans="8:14" x14ac:dyDescent="0.25">
      <c r="H135" s="5"/>
      <c r="J135" s="6"/>
      <c r="K135" s="5"/>
      <c r="M135" s="6"/>
      <c r="N135" s="5"/>
    </row>
    <row r="136" spans="8:14" x14ac:dyDescent="0.25">
      <c r="H136" s="5"/>
      <c r="J136" s="6"/>
      <c r="K136" s="5"/>
      <c r="M136" s="6"/>
      <c r="N136" s="5"/>
    </row>
    <row r="137" spans="8:14" x14ac:dyDescent="0.25">
      <c r="H137" s="5"/>
      <c r="J137" s="6"/>
      <c r="K137" s="5"/>
      <c r="M137" s="6"/>
      <c r="N137" s="5"/>
    </row>
    <row r="138" spans="8:14" x14ac:dyDescent="0.25">
      <c r="H138" s="5"/>
      <c r="J138" s="6"/>
      <c r="K138" s="5"/>
      <c r="M138" s="6"/>
      <c r="N138" s="5"/>
    </row>
    <row r="139" spans="8:14" x14ac:dyDescent="0.25">
      <c r="H139" s="5"/>
      <c r="J139" s="6"/>
      <c r="K139" s="5"/>
      <c r="M139" s="6"/>
      <c r="N139" s="5"/>
    </row>
  </sheetData>
  <sheetProtection formatColumns="0" formatRows="0"/>
  <mergeCells count="48">
    <mergeCell ref="F122:G122"/>
    <mergeCell ref="I122:J122"/>
    <mergeCell ref="F123:G123"/>
    <mergeCell ref="I123:J123"/>
    <mergeCell ref="F124:G124"/>
    <mergeCell ref="I124:J124"/>
    <mergeCell ref="F119:G119"/>
    <mergeCell ref="I119:J119"/>
    <mergeCell ref="F120:G120"/>
    <mergeCell ref="I120:J120"/>
    <mergeCell ref="F121:G121"/>
    <mergeCell ref="I121:J121"/>
    <mergeCell ref="F116:G116"/>
    <mergeCell ref="I116:J116"/>
    <mergeCell ref="F117:G117"/>
    <mergeCell ref="I117:J117"/>
    <mergeCell ref="F118:G118"/>
    <mergeCell ref="I118:J118"/>
    <mergeCell ref="F113:G113"/>
    <mergeCell ref="I113:J113"/>
    <mergeCell ref="F114:G114"/>
    <mergeCell ref="I114:J114"/>
    <mergeCell ref="F115:G115"/>
    <mergeCell ref="I115:J115"/>
    <mergeCell ref="F110:G110"/>
    <mergeCell ref="I110:J110"/>
    <mergeCell ref="F111:G111"/>
    <mergeCell ref="I111:J111"/>
    <mergeCell ref="F112:G112"/>
    <mergeCell ref="I112:J112"/>
    <mergeCell ref="F107:G107"/>
    <mergeCell ref="I107:J107"/>
    <mergeCell ref="F108:G108"/>
    <mergeCell ref="I108:J108"/>
    <mergeCell ref="F109:G109"/>
    <mergeCell ref="I109:J109"/>
    <mergeCell ref="A3:I3"/>
    <mergeCell ref="F106:G106"/>
    <mergeCell ref="I106:J106"/>
    <mergeCell ref="F68:G68"/>
    <mergeCell ref="F82:G82"/>
    <mergeCell ref="F53:G53"/>
    <mergeCell ref="F104:G104"/>
    <mergeCell ref="I104:J104"/>
    <mergeCell ref="F105:G105"/>
    <mergeCell ref="I105:J105"/>
    <mergeCell ref="F63:G64"/>
    <mergeCell ref="D49:D50"/>
  </mergeCells>
  <conditionalFormatting sqref="E12">
    <cfRule type="expression" dxfId="0" priority="1">
      <formula>LEN($E$12)=5</formula>
    </cfRule>
  </conditionalFormatting>
  <dataValidations count="9">
    <dataValidation type="list" allowBlank="1" showInputMessage="1" showErrorMessage="1" sqref="K17 E17 E47" xr:uid="{00000000-0002-0000-0200-000000000000}">
      <formula1>"MBE,WBE,ESB,SDVBE"</formula1>
    </dataValidation>
    <dataValidation type="list" allowBlank="1" showInputMessage="1" showErrorMessage="1" sqref="E49" xr:uid="{00000000-0002-0000-0200-000001000000}">
      <formula1>"Through Application Submission,Through Reservation Award,Through Funding,Through Construction,Through Certificates of Occupancy,Through Lease-up,Through Stabilization and Beyond,NA"</formula1>
    </dataValidation>
    <dataValidation type="list" allowBlank="1" showInputMessage="1" showErrorMessage="1" sqref="H82" xr:uid="{00000000-0002-0000-0200-000002000000}">
      <formula1>"Developer,Co-Developer,General Contractor,Ownership Entity,Managing Partner,Nonprofit Entity,Management Company,Service Coordinator,Syndicator/Investor,Other"</formula1>
    </dataValidation>
    <dataValidation type="list" allowBlank="1" showInputMessage="1" showErrorMessage="1" sqref="H68" xr:uid="{00000000-0002-0000-0200-000003000000}">
      <formula1>"Developer,Co-Developer,General Contractor,Ownership Entity,Managing Partner,Nonprofit Entity,Service Coordinator,Architect,Syndicator/Investor,Other"</formula1>
    </dataValidation>
    <dataValidation type="list" allowBlank="1" showInputMessage="1" showErrorMessage="1" sqref="H53" xr:uid="{00000000-0002-0000-0200-000004000000}">
      <formula1>"Developer,Co-Developer,Ownership Entity,Managing Partner,Nonprofit Entity,Management Company,Service Coordinator,Architect,Syndicator/Investor,Other"</formula1>
    </dataValidation>
    <dataValidation type="list" allowBlank="1" showInputMessage="1" showErrorMessage="1" sqref="E97" xr:uid="{00000000-0002-0000-0200-000005000000}">
      <formula1>"Public,Private,Self-Syndicated,Not Syndicated"</formula1>
    </dataValidation>
    <dataValidation type="list" allowBlank="1" showInputMessage="1" showErrorMessage="1" sqref="E98 E16 K16 E82 E46 E53 E68 H63 K19:K21" xr:uid="{00000000-0002-0000-0200-000006000000}">
      <formula1>"Yes,No,NA"</formula1>
    </dataValidation>
    <dataValidation type="list" allowBlank="1" showInputMessage="1" showErrorMessage="1" sqref="E15 K15 E61 E76 E89" xr:uid="{00000000-0002-0000-0200-000007000000}">
      <formula1>"For-Profit,Non-Profit 501(A),Non-Profit 501(C)(3),Non-Profit 501(C)(4),Non-Profit ORS 456.548,CHDO,Housing Authority,Local Government,Manufactured Park Coop,Ag Employer,Sovereign Tribal Entity"</formula1>
    </dataValidation>
    <dataValidation type="textLength" allowBlank="1" showInputMessage="1" showErrorMessage="1" sqref="E12 K12 H32 E43 E60 E75 E88" xr:uid="{834CC391-30C3-4B9B-B10F-2E0223AF1CCE}">
      <formula1>5</formula1>
      <formula2>10</formula2>
    </dataValidation>
  </dataValidations>
  <pageMargins left="0.7" right="0.7" top="0.75" bottom="0.75" header="0.3" footer="0.3"/>
  <pageSetup scale="36" orientation="portrait" r:id="rId1"/>
  <colBreaks count="1" manualBreakCount="1">
    <brk id="1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0FD61BF-671D-4691-9571-BB773BD82E8A}">
          <x14:formula1>
            <xm:f>'Data - Regions'!$Q$2:$Q$51</xm:f>
          </x14:formula1>
          <xm:sqref>E11 K11 H31 E42 E59 E74 E87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88C2-2850-4279-8EA3-B74AF3BC4CFE}">
  <sheetPr>
    <tabColor theme="8" tint="0.39997558519241921"/>
  </sheetPr>
  <dimension ref="A1:J24"/>
  <sheetViews>
    <sheetView zoomScale="80" zoomScaleNormal="80" zoomScaleSheetLayoutView="85" workbookViewId="0">
      <selection activeCell="D12" sqref="D12"/>
    </sheetView>
  </sheetViews>
  <sheetFormatPr defaultColWidth="10.28515625" defaultRowHeight="15" x14ac:dyDescent="0.25"/>
  <cols>
    <col min="1" max="1" width="4.7109375" style="5" customWidth="1"/>
    <col min="2" max="2" width="11" style="5" customWidth="1"/>
    <col min="3" max="3" width="46.5703125" style="5" customWidth="1"/>
    <col min="4" max="5" width="28.5703125" style="5" customWidth="1"/>
    <col min="6" max="6" width="4.42578125" style="5" customWidth="1"/>
    <col min="7" max="10" width="28.5703125" style="5" customWidth="1"/>
    <col min="11" max="11" width="17.140625" style="5" customWidth="1"/>
    <col min="12" max="12" width="34.140625" style="5" customWidth="1"/>
    <col min="13" max="13" width="19.85546875" style="5" customWidth="1"/>
    <col min="14" max="14" width="17.28515625" style="5" customWidth="1"/>
    <col min="15" max="15" width="34.28515625" style="5" customWidth="1"/>
    <col min="16" max="16" width="21.140625" style="5" customWidth="1"/>
    <col min="17" max="17" width="17.42578125" style="5" customWidth="1"/>
    <col min="18" max="18" width="34.140625" style="5" customWidth="1"/>
    <col min="19" max="19" width="23" style="5" customWidth="1"/>
    <col min="20" max="20" width="17.140625" style="5" customWidth="1"/>
    <col min="21" max="21" width="34.28515625" style="5" customWidth="1"/>
    <col min="22" max="25" width="23" style="5" customWidth="1"/>
    <col min="26" max="16384" width="10.28515625" style="5"/>
  </cols>
  <sheetData>
    <row r="1" spans="1:10" s="9" customFormat="1" ht="65.099999999999994" customHeight="1" x14ac:dyDescent="0.25">
      <c r="B1" s="80"/>
    </row>
    <row r="2" spans="1:10" s="83" customFormat="1" ht="33.75" customHeight="1" x14ac:dyDescent="0.25">
      <c r="A2" s="81" t="s">
        <v>117</v>
      </c>
      <c r="B2" s="82"/>
    </row>
    <row r="3" spans="1:10" s="84" customFormat="1" ht="20.100000000000001" customHeight="1" x14ac:dyDescent="0.25">
      <c r="A3" s="281" t="str">
        <f>IF(Deal_Name="","",Deal_Name)</f>
        <v/>
      </c>
      <c r="B3" s="281"/>
      <c r="C3" s="281"/>
      <c r="D3" s="281"/>
      <c r="E3" s="281"/>
      <c r="F3" s="281"/>
      <c r="G3" s="281"/>
      <c r="H3" s="281"/>
      <c r="I3" s="281"/>
    </row>
    <row r="4" spans="1:10" s="85" customFormat="1" ht="15.75" x14ac:dyDescent="0.25">
      <c r="B4" s="86"/>
      <c r="C4" s="87"/>
      <c r="D4" s="88"/>
    </row>
    <row r="5" spans="1:10" ht="15" customHeight="1" x14ac:dyDescent="0.25">
      <c r="A5" s="9"/>
      <c r="C5" s="184"/>
      <c r="D5" s="185"/>
      <c r="E5" s="230"/>
      <c r="F5" s="230"/>
      <c r="G5" s="230"/>
      <c r="H5" s="230"/>
      <c r="I5" s="230"/>
    </row>
    <row r="6" spans="1:10" ht="18" x14ac:dyDescent="0.25">
      <c r="A6" s="9"/>
      <c r="B6" s="7" t="s">
        <v>111</v>
      </c>
      <c r="C6" s="115"/>
      <c r="D6" s="41"/>
      <c r="E6" s="115"/>
      <c r="F6" s="92"/>
    </row>
    <row r="7" spans="1:10" ht="18" x14ac:dyDescent="0.25">
      <c r="A7" s="9"/>
      <c r="B7" s="7"/>
      <c r="C7" s="115"/>
      <c r="D7" s="41"/>
      <c r="E7" s="115"/>
      <c r="F7" s="92"/>
    </row>
    <row r="8" spans="1:10" ht="18" x14ac:dyDescent="0.25">
      <c r="A8" s="9"/>
      <c r="B8" s="7"/>
      <c r="C8" s="115" t="s">
        <v>112</v>
      </c>
      <c r="D8" s="264">
        <f>IFERROR(IF('Project Input'!D28="Urban",(SUM('Project Input'!H48:I48)*125000)+(SUM('Project Input'!D47:G48)*75000),IF('Project Input'!D28="Non-Urban",(SUM('Project Input'!H48:I48)*175000)+(SUM('Project Input'!D48:G48)*125000),0)),"-")</f>
        <v>0</v>
      </c>
      <c r="E8" s="115"/>
      <c r="F8" s="92"/>
    </row>
    <row r="9" spans="1:10" x14ac:dyDescent="0.25">
      <c r="A9" s="9"/>
      <c r="C9" s="115"/>
      <c r="D9" s="186"/>
      <c r="E9" s="115" t="s">
        <v>114</v>
      </c>
      <c r="F9" s="92"/>
    </row>
    <row r="10" spans="1:10" x14ac:dyDescent="0.25">
      <c r="A10" s="9"/>
      <c r="C10" s="115" t="s">
        <v>113</v>
      </c>
      <c r="D10" s="56"/>
      <c r="E10" s="187">
        <f>IFERROR(1-(D10/D8),0)</f>
        <v>0</v>
      </c>
      <c r="F10" s="92"/>
    </row>
    <row r="11" spans="1:10" x14ac:dyDescent="0.25">
      <c r="A11" s="9"/>
      <c r="C11" s="115" t="s">
        <v>512</v>
      </c>
      <c r="D11" s="56"/>
      <c r="E11" s="115"/>
      <c r="F11" s="92"/>
    </row>
    <row r="12" spans="1:10" x14ac:dyDescent="0.25">
      <c r="A12" s="9"/>
      <c r="C12" s="115" t="s">
        <v>81</v>
      </c>
      <c r="D12" s="56"/>
      <c r="E12" s="115"/>
      <c r="F12" s="92"/>
    </row>
    <row r="13" spans="1:10" x14ac:dyDescent="0.25">
      <c r="A13" s="9"/>
      <c r="C13" s="233" t="s">
        <v>675</v>
      </c>
      <c r="D13" s="56"/>
      <c r="E13" s="115"/>
      <c r="F13" s="92"/>
    </row>
    <row r="14" spans="1:10" x14ac:dyDescent="0.25">
      <c r="A14" s="9"/>
      <c r="C14" s="115"/>
      <c r="D14" s="41"/>
      <c r="E14" s="115"/>
      <c r="F14" s="92"/>
      <c r="G14" s="9"/>
      <c r="H14" s="9"/>
      <c r="I14" s="9"/>
      <c r="J14" s="9"/>
    </row>
    <row r="15" spans="1:10" x14ac:dyDescent="0.25">
      <c r="A15" s="9"/>
      <c r="B15" s="124"/>
      <c r="C15" s="188"/>
      <c r="D15" s="189"/>
      <c r="E15" s="188"/>
      <c r="F15" s="92"/>
      <c r="G15" s="9"/>
      <c r="H15" s="9"/>
      <c r="I15" s="9"/>
      <c r="J15" s="9"/>
    </row>
    <row r="16" spans="1:10" x14ac:dyDescent="0.25">
      <c r="A16" s="9"/>
      <c r="C16" s="115"/>
      <c r="D16" s="115"/>
      <c r="E16" s="115"/>
      <c r="F16" s="92"/>
    </row>
    <row r="17" spans="1:9" ht="15" customHeight="1" x14ac:dyDescent="0.25">
      <c r="A17" s="9"/>
      <c r="B17" s="7" t="s">
        <v>116</v>
      </c>
      <c r="C17" s="176"/>
      <c r="D17" s="230"/>
      <c r="E17" s="230"/>
      <c r="F17" s="251"/>
      <c r="G17" s="230"/>
      <c r="H17" s="230"/>
      <c r="I17" s="230"/>
    </row>
    <row r="18" spans="1:9" ht="15" customHeight="1" x14ac:dyDescent="0.25">
      <c r="A18" s="9"/>
      <c r="B18" s="7"/>
      <c r="C18" s="176"/>
      <c r="D18" s="230"/>
      <c r="E18" s="230"/>
      <c r="F18" s="251"/>
      <c r="G18" s="230"/>
      <c r="H18" s="230"/>
      <c r="I18" s="230"/>
    </row>
    <row r="19" spans="1:9" ht="15" customHeight="1" x14ac:dyDescent="0.25">
      <c r="A19" s="9"/>
      <c r="C19" s="257" t="s">
        <v>741</v>
      </c>
      <c r="D19" s="192"/>
      <c r="E19" s="230"/>
      <c r="F19" s="251"/>
      <c r="G19" s="230"/>
      <c r="H19" s="230"/>
      <c r="I19" s="230"/>
    </row>
    <row r="20" spans="1:9" ht="15" customHeight="1" x14ac:dyDescent="0.25">
      <c r="A20" s="9"/>
      <c r="C20" s="212" t="s">
        <v>115</v>
      </c>
      <c r="D20" s="192"/>
      <c r="E20" s="230"/>
      <c r="F20" s="251"/>
      <c r="G20" s="230"/>
      <c r="H20" s="230"/>
      <c r="I20" s="230"/>
    </row>
    <row r="21" spans="1:9" ht="15" customHeight="1" x14ac:dyDescent="0.25">
      <c r="A21" s="9"/>
      <c r="C21" s="176"/>
      <c r="D21" s="230"/>
      <c r="E21" s="230"/>
      <c r="F21" s="230"/>
      <c r="G21" s="230"/>
      <c r="H21" s="230"/>
      <c r="I21" s="230"/>
    </row>
    <row r="23" spans="1:9" s="137" customFormat="1" ht="7.5" customHeight="1" x14ac:dyDescent="0.25">
      <c r="B23" s="138"/>
      <c r="C23" s="139"/>
      <c r="D23" s="140"/>
    </row>
    <row r="24" spans="1:9" s="83" customFormat="1" ht="33.75" customHeight="1" x14ac:dyDescent="0.25">
      <c r="A24" s="141" t="s">
        <v>413</v>
      </c>
      <c r="B24" s="82"/>
    </row>
  </sheetData>
  <sheetProtection formatColumns="0" formatRows="0"/>
  <dataConsolidate/>
  <mergeCells count="1">
    <mergeCell ref="A3:I3"/>
  </mergeCells>
  <hyperlinks>
    <hyperlink ref="C13" r:id="rId1" xr:uid="{3D1B61EE-D871-4FD1-BA24-B03AC1E6CAB1}"/>
  </hyperlinks>
  <pageMargins left="0.7" right="0.7" top="0.75" bottom="0.75" header="0.3" footer="0.3"/>
  <pageSetup scale="28"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6101-57A4-4A4D-90E8-5B70AEDB8FE2}">
  <sheetPr>
    <tabColor theme="8" tint="0.39997558519241921"/>
  </sheetPr>
  <dimension ref="A1:M52"/>
  <sheetViews>
    <sheetView showGridLines="0" zoomScale="80" zoomScaleNormal="80" zoomScaleSheetLayoutView="85" workbookViewId="0">
      <selection activeCell="K33" sqref="K33"/>
    </sheetView>
  </sheetViews>
  <sheetFormatPr defaultColWidth="10.28515625" defaultRowHeight="15" x14ac:dyDescent="0.25"/>
  <cols>
    <col min="1" max="2" width="4.7109375" style="5" customWidth="1"/>
    <col min="3" max="3" width="5" style="5" customWidth="1"/>
    <col min="4" max="4" width="44.42578125" style="5" customWidth="1"/>
    <col min="5" max="7" width="28.5703125" style="5" customWidth="1"/>
    <col min="8" max="8" width="5.140625" style="5" customWidth="1"/>
    <col min="9" max="11" width="28.5703125" style="5" customWidth="1"/>
    <col min="12" max="12" width="34.140625" style="5" customWidth="1"/>
    <col min="13" max="13" width="19.85546875" style="5" customWidth="1"/>
    <col min="14" max="14" width="17.28515625" style="5" customWidth="1"/>
    <col min="15" max="15" width="34.28515625" style="5" customWidth="1"/>
    <col min="16" max="16" width="21.140625" style="5" customWidth="1"/>
    <col min="17" max="17" width="17.42578125" style="5" customWidth="1"/>
    <col min="18" max="18" width="34.140625" style="5" customWidth="1"/>
    <col min="19" max="19" width="23" style="5" customWidth="1"/>
    <col min="20" max="20" width="17.140625" style="5" customWidth="1"/>
    <col min="21" max="21" width="34.28515625" style="5" customWidth="1"/>
    <col min="22" max="25" width="23" style="5" customWidth="1"/>
    <col min="26" max="16384" width="10.28515625" style="5"/>
  </cols>
  <sheetData>
    <row r="1" spans="1:13" s="9" customFormat="1" ht="65.099999999999994" customHeight="1" x14ac:dyDescent="0.25">
      <c r="B1" s="80"/>
    </row>
    <row r="2" spans="1:13" s="83" customFormat="1" ht="33.75" customHeight="1" x14ac:dyDescent="0.25">
      <c r="A2" s="81" t="s">
        <v>108</v>
      </c>
      <c r="B2" s="82"/>
    </row>
    <row r="3" spans="1:13" s="84" customFormat="1" ht="20.100000000000001" customHeight="1" x14ac:dyDescent="0.25">
      <c r="A3" s="281"/>
      <c r="B3" s="281"/>
      <c r="C3" s="281"/>
      <c r="D3" s="281"/>
      <c r="E3" s="281"/>
      <c r="F3" s="281"/>
      <c r="G3" s="281"/>
      <c r="H3" s="281"/>
    </row>
    <row r="4" spans="1:13" s="85" customFormat="1" ht="15.75" x14ac:dyDescent="0.25">
      <c r="C4" s="86"/>
      <c r="D4" s="87"/>
      <c r="E4" s="88"/>
    </row>
    <row r="5" spans="1:13" s="9" customFormat="1" ht="18" x14ac:dyDescent="0.25">
      <c r="B5" s="146" t="s">
        <v>118</v>
      </c>
      <c r="D5" s="147"/>
      <c r="E5" s="148"/>
    </row>
    <row r="6" spans="1:13" s="9" customFormat="1" ht="15.75" x14ac:dyDescent="0.25">
      <c r="C6" s="90"/>
      <c r="D6" s="147"/>
      <c r="E6" s="148"/>
    </row>
    <row r="7" spans="1:13" s="9" customFormat="1" ht="14.25" customHeight="1" x14ac:dyDescent="0.25">
      <c r="C7" s="7"/>
      <c r="G7" s="103"/>
      <c r="H7" s="149"/>
      <c r="M7" s="116"/>
    </row>
    <row r="8" spans="1:13" s="9" customFormat="1" ht="14.25" customHeight="1" x14ac:dyDescent="0.25">
      <c r="B8" s="7" t="s">
        <v>28</v>
      </c>
      <c r="D8" s="5"/>
      <c r="E8" s="5"/>
      <c r="F8" s="113"/>
      <c r="G8" s="103"/>
      <c r="H8" s="96"/>
      <c r="M8" s="150"/>
    </row>
    <row r="9" spans="1:13" s="9" customFormat="1" ht="14.25" customHeight="1" x14ac:dyDescent="0.25">
      <c r="C9" s="7"/>
      <c r="H9" s="92"/>
    </row>
    <row r="10" spans="1:13" x14ac:dyDescent="0.25">
      <c r="D10" s="5" t="s">
        <v>29</v>
      </c>
      <c r="E10" s="272"/>
      <c r="F10" s="294"/>
      <c r="G10" s="295"/>
      <c r="H10" s="101"/>
      <c r="I10" s="152"/>
      <c r="J10" s="9"/>
      <c r="K10" s="153"/>
      <c r="M10" s="231"/>
    </row>
    <row r="11" spans="1:13" x14ac:dyDescent="0.25">
      <c r="D11" s="5" t="s">
        <v>30</v>
      </c>
      <c r="E11" s="68"/>
      <c r="H11" s="92"/>
      <c r="I11" s="9"/>
      <c r="J11" s="9"/>
    </row>
    <row r="12" spans="1:13" x14ac:dyDescent="0.25">
      <c r="E12" s="41"/>
      <c r="H12" s="92"/>
      <c r="I12" s="9"/>
      <c r="J12" s="9"/>
    </row>
    <row r="13" spans="1:13" x14ac:dyDescent="0.25">
      <c r="C13" s="154"/>
      <c r="D13" s="155"/>
      <c r="E13" s="156"/>
      <c r="F13" s="157"/>
      <c r="G13" s="9"/>
      <c r="H13" s="92"/>
      <c r="I13" s="9"/>
      <c r="J13" s="9"/>
    </row>
    <row r="14" spans="1:13" ht="21.75" customHeight="1" x14ac:dyDescent="0.25">
      <c r="C14" s="158"/>
      <c r="D14" s="256" t="s">
        <v>102</v>
      </c>
      <c r="E14" s="159"/>
      <c r="F14" s="160"/>
      <c r="G14" s="9"/>
      <c r="H14" s="92"/>
      <c r="I14" s="9"/>
      <c r="J14" s="9"/>
    </row>
    <row r="15" spans="1:13" x14ac:dyDescent="0.25">
      <c r="C15" s="158"/>
      <c r="D15" s="161" t="s">
        <v>97</v>
      </c>
      <c r="E15" s="191" t="s">
        <v>816</v>
      </c>
      <c r="F15" s="160"/>
      <c r="G15" s="9"/>
      <c r="H15" s="92"/>
      <c r="I15" s="9"/>
      <c r="J15" s="9"/>
    </row>
    <row r="16" spans="1:13" x14ac:dyDescent="0.25">
      <c r="C16" s="158"/>
      <c r="D16" s="161" t="s">
        <v>98</v>
      </c>
      <c r="E16" s="191" t="s">
        <v>816</v>
      </c>
      <c r="F16" s="160"/>
      <c r="G16" s="9"/>
      <c r="H16" s="92"/>
      <c r="I16" s="9"/>
      <c r="J16" s="9"/>
    </row>
    <row r="17" spans="2:11" x14ac:dyDescent="0.25">
      <c r="C17" s="158"/>
      <c r="D17" s="161" t="s">
        <v>99</v>
      </c>
      <c r="E17" s="191" t="s">
        <v>816</v>
      </c>
      <c r="F17" s="160"/>
      <c r="G17" s="9"/>
      <c r="H17" s="92"/>
      <c r="I17" s="9"/>
      <c r="J17" s="9"/>
    </row>
    <row r="18" spans="2:11" x14ac:dyDescent="0.25">
      <c r="C18" s="158"/>
      <c r="D18" s="161" t="s">
        <v>680</v>
      </c>
      <c r="E18" s="191" t="s">
        <v>816</v>
      </c>
      <c r="F18" s="160"/>
      <c r="G18" s="9"/>
      <c r="H18" s="92"/>
      <c r="I18" s="9"/>
      <c r="J18" s="9"/>
    </row>
    <row r="19" spans="2:11" x14ac:dyDescent="0.25">
      <c r="C19" s="158"/>
      <c r="D19" s="161" t="s">
        <v>100</v>
      </c>
      <c r="E19" s="191" t="s">
        <v>816</v>
      </c>
      <c r="F19" s="160"/>
      <c r="G19" s="9"/>
      <c r="H19" s="92"/>
      <c r="I19" s="9"/>
      <c r="J19" s="9"/>
    </row>
    <row r="20" spans="2:11" x14ac:dyDescent="0.25">
      <c r="C20" s="158"/>
      <c r="D20" s="161" t="s">
        <v>101</v>
      </c>
      <c r="E20" s="191" t="s">
        <v>816</v>
      </c>
      <c r="F20" s="160"/>
      <c r="G20" s="9"/>
      <c r="H20" s="92"/>
      <c r="I20" s="9"/>
      <c r="J20" s="9"/>
    </row>
    <row r="21" spans="2:11" x14ac:dyDescent="0.25">
      <c r="C21" s="162"/>
      <c r="D21" s="163"/>
      <c r="E21" s="164"/>
      <c r="F21" s="165"/>
      <c r="G21" s="9"/>
      <c r="H21" s="92"/>
      <c r="I21" s="9"/>
      <c r="J21" s="9"/>
    </row>
    <row r="22" spans="2:11" x14ac:dyDescent="0.25">
      <c r="D22" s="115"/>
      <c r="E22" s="41"/>
      <c r="F22" s="115"/>
      <c r="H22" s="92"/>
      <c r="I22" s="9"/>
      <c r="J22" s="9"/>
    </row>
    <row r="23" spans="2:11" x14ac:dyDescent="0.25">
      <c r="B23" s="102"/>
      <c r="C23" s="102"/>
      <c r="D23" s="125"/>
      <c r="E23" s="134"/>
      <c r="F23" s="125"/>
      <c r="G23" s="102"/>
      <c r="H23" s="92"/>
    </row>
    <row r="24" spans="2:11" ht="18" x14ac:dyDescent="0.25">
      <c r="B24" s="7" t="s">
        <v>79</v>
      </c>
      <c r="D24" s="115"/>
      <c r="E24" s="41"/>
      <c r="F24" s="115"/>
      <c r="H24" s="92"/>
    </row>
    <row r="25" spans="2:11" x14ac:dyDescent="0.25">
      <c r="D25" s="115"/>
      <c r="E25" s="41"/>
      <c r="F25" s="115"/>
      <c r="H25" s="92"/>
    </row>
    <row r="26" spans="2:11" x14ac:dyDescent="0.25">
      <c r="D26" s="115" t="s">
        <v>513</v>
      </c>
      <c r="E26" s="57"/>
      <c r="F26" s="166" t="s">
        <v>736</v>
      </c>
      <c r="H26" s="92"/>
    </row>
    <row r="27" spans="2:11" x14ac:dyDescent="0.25">
      <c r="D27" s="115" t="s">
        <v>512</v>
      </c>
      <c r="E27" s="57"/>
      <c r="F27" s="166"/>
      <c r="H27" s="92"/>
    </row>
    <row r="28" spans="2:11" x14ac:dyDescent="0.25">
      <c r="D28" s="115" t="s">
        <v>82</v>
      </c>
      <c r="E28" s="57"/>
      <c r="F28" s="166" t="s">
        <v>737</v>
      </c>
      <c r="H28" s="92"/>
    </row>
    <row r="29" spans="2:11" x14ac:dyDescent="0.25">
      <c r="D29" s="115" t="s">
        <v>81</v>
      </c>
      <c r="E29" s="57"/>
      <c r="F29" s="166" t="s">
        <v>738</v>
      </c>
      <c r="H29" s="92"/>
    </row>
    <row r="30" spans="2:11" x14ac:dyDescent="0.25">
      <c r="D30" s="233" t="s">
        <v>675</v>
      </c>
      <c r="E30" s="57"/>
      <c r="F30" s="115"/>
      <c r="H30" s="92"/>
    </row>
    <row r="31" spans="2:11" x14ac:dyDescent="0.25">
      <c r="D31" s="115"/>
      <c r="E31" s="41"/>
      <c r="F31" s="115"/>
      <c r="H31" s="251"/>
      <c r="I31" s="240"/>
      <c r="J31" s="240"/>
      <c r="K31" s="230"/>
    </row>
    <row r="32" spans="2:11" x14ac:dyDescent="0.25">
      <c r="B32" s="102"/>
      <c r="C32" s="102"/>
      <c r="D32" s="125"/>
      <c r="E32" s="125"/>
      <c r="F32" s="125"/>
      <c r="G32" s="102"/>
      <c r="H32" s="92"/>
    </row>
    <row r="33" spans="2:13" ht="18" x14ac:dyDescent="0.25">
      <c r="B33" s="7" t="s">
        <v>735</v>
      </c>
      <c r="E33" s="168"/>
      <c r="H33" s="92"/>
    </row>
    <row r="34" spans="2:13" ht="15" customHeight="1" x14ac:dyDescent="0.25">
      <c r="D34" s="177"/>
      <c r="E34" s="230"/>
      <c r="F34" s="230"/>
      <c r="G34" s="230"/>
      <c r="H34" s="251"/>
      <c r="I34" s="230"/>
      <c r="J34" s="230"/>
    </row>
    <row r="35" spans="2:13" ht="15" customHeight="1" x14ac:dyDescent="0.25">
      <c r="D35" s="257" t="s">
        <v>78</v>
      </c>
      <c r="E35" s="75"/>
      <c r="F35" s="230"/>
      <c r="G35" s="230"/>
      <c r="H35" s="251"/>
      <c r="I35" s="230"/>
      <c r="J35" s="230"/>
    </row>
    <row r="36" spans="2:13" ht="15" customHeight="1" x14ac:dyDescent="0.25">
      <c r="D36" s="257" t="s">
        <v>739</v>
      </c>
      <c r="E36" s="75"/>
      <c r="F36" s="230"/>
      <c r="G36" s="230"/>
      <c r="H36" s="251"/>
      <c r="I36" s="230"/>
      <c r="J36" s="230"/>
    </row>
    <row r="37" spans="2:13" ht="15" customHeight="1" x14ac:dyDescent="0.25">
      <c r="D37" s="257" t="s">
        <v>740</v>
      </c>
      <c r="E37" s="75"/>
      <c r="F37" s="230"/>
      <c r="G37" s="230"/>
      <c r="H37" s="251"/>
      <c r="I37" s="230"/>
      <c r="J37" s="230"/>
    </row>
    <row r="38" spans="2:13" ht="15" customHeight="1" x14ac:dyDescent="0.25">
      <c r="B38" s="124"/>
      <c r="D38" s="176"/>
      <c r="E38" s="230"/>
      <c r="F38" s="230"/>
      <c r="G38" s="230"/>
      <c r="H38" s="251"/>
      <c r="I38" s="240"/>
      <c r="J38" s="240"/>
    </row>
    <row r="39" spans="2:13" x14ac:dyDescent="0.25">
      <c r="C39" s="102"/>
      <c r="D39" s="102"/>
      <c r="E39" s="102"/>
      <c r="F39" s="102"/>
      <c r="G39" s="102"/>
      <c r="H39" s="92"/>
      <c r="I39" s="9"/>
      <c r="J39" s="9"/>
    </row>
    <row r="40" spans="2:13" ht="18" x14ac:dyDescent="0.25">
      <c r="B40" s="7" t="s">
        <v>109</v>
      </c>
      <c r="H40" s="92"/>
      <c r="M40" s="296"/>
    </row>
    <row r="41" spans="2:13" ht="18" x14ac:dyDescent="0.25">
      <c r="C41" s="7"/>
      <c r="H41" s="92"/>
      <c r="M41" s="296"/>
    </row>
    <row r="42" spans="2:13" x14ac:dyDescent="0.25">
      <c r="D42" s="6" t="s">
        <v>676</v>
      </c>
      <c r="E42" s="78"/>
      <c r="H42" s="252"/>
      <c r="I42" s="250"/>
      <c r="M42" s="296"/>
    </row>
    <row r="43" spans="2:13" x14ac:dyDescent="0.25">
      <c r="D43" s="6" t="s">
        <v>677</v>
      </c>
      <c r="E43" s="78"/>
      <c r="H43" s="92"/>
    </row>
    <row r="44" spans="2:13" s="178" customFormat="1" x14ac:dyDescent="0.25">
      <c r="E44" s="179"/>
      <c r="H44" s="253"/>
      <c r="I44" s="249"/>
      <c r="J44" s="249"/>
    </row>
    <row r="45" spans="2:13" s="178" customFormat="1" x14ac:dyDescent="0.25">
      <c r="B45" s="181"/>
      <c r="C45" s="181"/>
      <c r="D45" s="181"/>
      <c r="E45" s="182"/>
      <c r="F45" s="181"/>
      <c r="G45" s="181"/>
      <c r="H45" s="253"/>
    </row>
    <row r="46" spans="2:13" ht="18" x14ac:dyDescent="0.25">
      <c r="B46" s="7" t="s">
        <v>101</v>
      </c>
      <c r="H46" s="92"/>
      <c r="M46" s="296"/>
    </row>
    <row r="47" spans="2:13" x14ac:dyDescent="0.25">
      <c r="C47" s="118"/>
      <c r="D47" s="118"/>
      <c r="E47" s="118"/>
      <c r="F47" s="118"/>
      <c r="G47" s="118"/>
      <c r="H47" s="119"/>
      <c r="I47" s="118"/>
      <c r="J47" s="118"/>
      <c r="K47" s="118"/>
      <c r="M47" s="296"/>
    </row>
    <row r="48" spans="2:13" x14ac:dyDescent="0.25">
      <c r="C48" s="118"/>
      <c r="D48" s="258" t="s">
        <v>110</v>
      </c>
      <c r="E48" s="271"/>
      <c r="F48" s="135"/>
      <c r="G48" s="118"/>
      <c r="H48" s="119"/>
      <c r="I48" s="118"/>
      <c r="J48" s="118"/>
      <c r="K48" s="118"/>
      <c r="M48" s="296"/>
    </row>
    <row r="51" spans="1:5" s="137" customFormat="1" ht="7.5" customHeight="1" x14ac:dyDescent="0.25">
      <c r="C51" s="138"/>
      <c r="D51" s="139"/>
      <c r="E51" s="140"/>
    </row>
    <row r="52" spans="1:5" s="83" customFormat="1" ht="33.75" customHeight="1" x14ac:dyDescent="0.25">
      <c r="A52" s="141" t="s">
        <v>413</v>
      </c>
      <c r="C52" s="82"/>
    </row>
  </sheetData>
  <sheetProtection formatColumns="0" formatRows="0"/>
  <dataConsolidate/>
  <mergeCells count="4">
    <mergeCell ref="A3:H3"/>
    <mergeCell ref="F10:G10"/>
    <mergeCell ref="M40:M42"/>
    <mergeCell ref="M46:M48"/>
  </mergeCells>
  <dataValidations count="4">
    <dataValidation type="date" allowBlank="1" showInputMessage="1" showErrorMessage="1" sqref="E5:E6" xr:uid="{50E3EF00-E91C-4277-B1D9-D8C7C98A92E4}">
      <formula1>43466</formula1>
      <formula2>72686</formula2>
    </dataValidation>
    <dataValidation type="list" errorStyle="warning" showInputMessage="1" showErrorMessage="1" errorTitle="SmartDox" error="The value you entered for the dropdown is not valid." sqref="E10" xr:uid="{D1716B67-2676-4D18-BCA0-256FC9760A5E}">
      <formula1>SD_D_PL_UDF_491_Name</formula1>
    </dataValidation>
    <dataValidation type="list" errorStyle="warning" showInputMessage="1" showErrorMessage="1" errorTitle="SmartDox" error="The value you entered for the dropdown is not valid." sqref="E48" xr:uid="{2A9EBDBC-5302-45A7-BF22-4CA95B554CB8}">
      <formula1>SD_D_PL_UDF_518_Name</formula1>
    </dataValidation>
    <dataValidation type="list" allowBlank="1" showInputMessage="1" showErrorMessage="1" sqref="E15:E20" xr:uid="{4137CEC2-37B0-40A0-A4CE-B68BBEDB36D8}">
      <formula1>"Yes,No"</formula1>
    </dataValidation>
  </dataValidations>
  <hyperlinks>
    <hyperlink ref="D30" r:id="rId1" xr:uid="{3507F523-ED1A-4B14-B45B-DD97347B4825}"/>
  </hyperlinks>
  <pageMargins left="0.7" right="0.7" top="0.75" bottom="0.75" header="0.3" footer="0.3"/>
  <pageSetup scale="28"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M35"/>
  <sheetViews>
    <sheetView showGridLines="0" topLeftCell="A4" zoomScale="80" zoomScaleNormal="80" zoomScaleSheetLayoutView="85" workbookViewId="0">
      <selection activeCell="E31" sqref="E31"/>
    </sheetView>
  </sheetViews>
  <sheetFormatPr defaultColWidth="10.28515625" defaultRowHeight="15" x14ac:dyDescent="0.25"/>
  <cols>
    <col min="1" max="2" width="4.7109375" style="5" customWidth="1"/>
    <col min="3" max="3" width="5" style="5" customWidth="1"/>
    <col min="4" max="4" width="44.42578125" style="5" customWidth="1"/>
    <col min="5" max="6" width="28.5703125" style="5" customWidth="1"/>
    <col min="7" max="7" width="5" style="5" customWidth="1"/>
    <col min="8" max="11" width="28.5703125" style="5" customWidth="1"/>
    <col min="12" max="12" width="34.140625" style="5" customWidth="1"/>
    <col min="13" max="13" width="19.85546875" style="5" customWidth="1"/>
    <col min="14" max="14" width="17.28515625" style="5" customWidth="1"/>
    <col min="15" max="15" width="34.28515625" style="5" customWidth="1"/>
    <col min="16" max="16" width="21.140625" style="5" customWidth="1"/>
    <col min="17" max="17" width="17.42578125" style="5" customWidth="1"/>
    <col min="18" max="18" width="34.140625" style="5" customWidth="1"/>
    <col min="19" max="19" width="23" style="5" customWidth="1"/>
    <col min="20" max="20" width="17.140625" style="5" customWidth="1"/>
    <col min="21" max="21" width="34.28515625" style="5" customWidth="1"/>
    <col min="22" max="25" width="23" style="5" customWidth="1"/>
    <col min="26" max="16384" width="10.28515625" style="5"/>
  </cols>
  <sheetData>
    <row r="1" spans="1:13" s="9" customFormat="1" ht="65.099999999999994" customHeight="1" x14ac:dyDescent="0.25">
      <c r="B1" s="80"/>
    </row>
    <row r="2" spans="1:13" s="83" customFormat="1" ht="33.75" customHeight="1" x14ac:dyDescent="0.25">
      <c r="A2" s="81" t="s">
        <v>108</v>
      </c>
      <c r="B2" s="82"/>
    </row>
    <row r="3" spans="1:13" s="84" customFormat="1" ht="20.100000000000001" customHeight="1" x14ac:dyDescent="0.25">
      <c r="A3" s="281"/>
      <c r="B3" s="281"/>
      <c r="C3" s="281"/>
      <c r="D3" s="281"/>
      <c r="E3" s="281"/>
      <c r="F3" s="281"/>
      <c r="G3" s="281"/>
      <c r="H3" s="281"/>
    </row>
    <row r="4" spans="1:13" s="85" customFormat="1" ht="15.75" x14ac:dyDescent="0.25">
      <c r="C4" s="86"/>
      <c r="D4" s="87"/>
      <c r="E4" s="88"/>
    </row>
    <row r="5" spans="1:13" s="9" customFormat="1" ht="18" x14ac:dyDescent="0.25">
      <c r="B5" s="146" t="s">
        <v>118</v>
      </c>
      <c r="D5" s="147"/>
      <c r="E5" s="148"/>
    </row>
    <row r="6" spans="1:13" s="9" customFormat="1" ht="15.75" x14ac:dyDescent="0.25">
      <c r="C6" s="90"/>
      <c r="D6" s="147"/>
      <c r="E6" s="148"/>
    </row>
    <row r="7" spans="1:13" s="9" customFormat="1" ht="18" x14ac:dyDescent="0.25">
      <c r="B7" s="7" t="s">
        <v>28</v>
      </c>
      <c r="C7" s="90"/>
      <c r="D7" s="147"/>
      <c r="E7" s="148"/>
      <c r="G7" s="92"/>
    </row>
    <row r="8" spans="1:13" s="9" customFormat="1" ht="18" x14ac:dyDescent="0.25">
      <c r="B8" s="7"/>
      <c r="C8" s="90"/>
      <c r="D8" s="115" t="s">
        <v>730</v>
      </c>
      <c r="E8" s="191"/>
      <c r="G8" s="92"/>
    </row>
    <row r="9" spans="1:13" s="9" customFormat="1" x14ac:dyDescent="0.25">
      <c r="B9" s="124"/>
      <c r="C9" s="124"/>
      <c r="D9" s="261"/>
      <c r="E9" s="167"/>
      <c r="F9" s="167"/>
      <c r="G9" s="92"/>
    </row>
    <row r="10" spans="1:13" s="9" customFormat="1" ht="14.25" customHeight="1" x14ac:dyDescent="0.25">
      <c r="C10" s="7"/>
      <c r="G10" s="254"/>
      <c r="H10" s="149"/>
      <c r="M10" s="116"/>
    </row>
    <row r="11" spans="1:13" ht="18" x14ac:dyDescent="0.25">
      <c r="B11" s="7" t="s">
        <v>79</v>
      </c>
      <c r="D11" s="115"/>
      <c r="E11" s="41"/>
      <c r="F11" s="115"/>
      <c r="G11" s="92"/>
    </row>
    <row r="12" spans="1:13" x14ac:dyDescent="0.25">
      <c r="D12" s="115"/>
      <c r="E12" s="41"/>
      <c r="F12" s="115"/>
      <c r="G12" s="92"/>
    </row>
    <row r="13" spans="1:13" x14ac:dyDescent="0.25">
      <c r="D13" s="115" t="s">
        <v>512</v>
      </c>
      <c r="E13" s="57"/>
      <c r="F13" s="166"/>
      <c r="G13" s="92"/>
    </row>
    <row r="14" spans="1:13" x14ac:dyDescent="0.25">
      <c r="D14" s="115" t="s">
        <v>80</v>
      </c>
      <c r="E14" s="57"/>
      <c r="F14" s="166" t="s">
        <v>742</v>
      </c>
      <c r="G14" s="92"/>
    </row>
    <row r="15" spans="1:13" x14ac:dyDescent="0.25">
      <c r="D15" s="115" t="s">
        <v>82</v>
      </c>
      <c r="E15" s="57"/>
      <c r="F15" s="166" t="s">
        <v>737</v>
      </c>
      <c r="G15" s="92"/>
    </row>
    <row r="16" spans="1:13" x14ac:dyDescent="0.25">
      <c r="D16" s="115" t="s">
        <v>81</v>
      </c>
      <c r="E16" s="57"/>
      <c r="F16" s="166" t="s">
        <v>738</v>
      </c>
      <c r="G16" s="92"/>
    </row>
    <row r="17" spans="2:13" x14ac:dyDescent="0.25">
      <c r="D17" s="233" t="s">
        <v>675</v>
      </c>
      <c r="E17" s="57"/>
      <c r="F17" s="115"/>
      <c r="G17" s="92"/>
      <c r="H17" s="9"/>
      <c r="I17" s="9"/>
      <c r="J17" s="9"/>
    </row>
    <row r="18" spans="2:13" x14ac:dyDescent="0.25">
      <c r="D18" s="115"/>
      <c r="E18" s="41"/>
      <c r="F18" s="115"/>
      <c r="G18" s="92"/>
      <c r="H18" s="240"/>
      <c r="I18" s="240"/>
      <c r="J18" s="240"/>
      <c r="K18" s="66"/>
    </row>
    <row r="19" spans="2:13" ht="15" customHeight="1" x14ac:dyDescent="0.25">
      <c r="B19" s="124"/>
      <c r="D19" s="176"/>
      <c r="E19" s="66"/>
      <c r="F19" s="66"/>
      <c r="G19" s="251"/>
      <c r="H19" s="240"/>
      <c r="I19" s="240"/>
      <c r="J19" s="240"/>
    </row>
    <row r="20" spans="2:13" x14ac:dyDescent="0.25">
      <c r="C20" s="102"/>
      <c r="D20" s="102"/>
      <c r="E20" s="102"/>
      <c r="F20" s="102"/>
      <c r="G20" s="92"/>
      <c r="H20" s="9"/>
      <c r="I20" s="9"/>
      <c r="J20" s="9"/>
    </row>
    <row r="21" spans="2:13" ht="18" x14ac:dyDescent="0.25">
      <c r="B21" s="7" t="s">
        <v>109</v>
      </c>
      <c r="G21" s="92"/>
      <c r="H21" s="9"/>
      <c r="I21" s="9"/>
      <c r="J21" s="9"/>
      <c r="M21" s="296"/>
    </row>
    <row r="22" spans="2:13" ht="18" x14ac:dyDescent="0.25">
      <c r="C22" s="7"/>
      <c r="G22" s="92"/>
      <c r="H22" s="9"/>
      <c r="I22" s="9"/>
      <c r="J22" s="9"/>
      <c r="M22" s="296"/>
    </row>
    <row r="23" spans="2:13" x14ac:dyDescent="0.25">
      <c r="D23" s="5" t="s">
        <v>729</v>
      </c>
      <c r="E23" s="78"/>
      <c r="G23" s="92"/>
      <c r="H23" s="9"/>
      <c r="I23" s="9"/>
      <c r="J23" s="9"/>
    </row>
    <row r="24" spans="2:13" x14ac:dyDescent="0.25">
      <c r="E24" s="259"/>
      <c r="G24" s="92"/>
      <c r="H24" s="9"/>
      <c r="I24" s="9"/>
      <c r="J24" s="9"/>
    </row>
    <row r="25" spans="2:13" x14ac:dyDescent="0.25">
      <c r="D25" s="5" t="s">
        <v>743</v>
      </c>
      <c r="E25" s="260"/>
      <c r="G25" s="92"/>
      <c r="H25" s="9"/>
      <c r="I25" s="9"/>
      <c r="J25" s="9"/>
    </row>
    <row r="26" spans="2:13" s="178" customFormat="1" x14ac:dyDescent="0.25">
      <c r="E26" s="179"/>
      <c r="G26" s="253"/>
      <c r="H26" s="249"/>
      <c r="I26" s="249"/>
      <c r="J26" s="249"/>
    </row>
    <row r="27" spans="2:13" s="178" customFormat="1" x14ac:dyDescent="0.25">
      <c r="B27" s="181"/>
      <c r="C27" s="181"/>
      <c r="D27" s="181"/>
      <c r="E27" s="182"/>
      <c r="F27" s="181"/>
      <c r="G27" s="253"/>
      <c r="H27" s="249"/>
      <c r="I27" s="249"/>
      <c r="J27" s="249"/>
    </row>
    <row r="28" spans="2:13" ht="18" x14ac:dyDescent="0.25">
      <c r="B28" s="7" t="s">
        <v>101</v>
      </c>
      <c r="G28" s="92"/>
      <c r="H28" s="9"/>
      <c r="I28" s="9"/>
      <c r="J28" s="9"/>
      <c r="M28" s="296"/>
    </row>
    <row r="29" spans="2:13" x14ac:dyDescent="0.25">
      <c r="C29" s="118"/>
      <c r="D29" s="118"/>
      <c r="E29" s="118"/>
      <c r="F29" s="118"/>
      <c r="G29" s="119"/>
      <c r="H29" s="118"/>
      <c r="I29" s="118"/>
      <c r="J29" s="118"/>
      <c r="K29" s="118"/>
      <c r="M29" s="296"/>
    </row>
    <row r="30" spans="2:13" x14ac:dyDescent="0.25">
      <c r="C30" s="118"/>
      <c r="D30" s="183" t="s">
        <v>728</v>
      </c>
      <c r="E30" s="271"/>
      <c r="F30" s="118"/>
      <c r="G30" s="119"/>
      <c r="H30" s="118"/>
      <c r="I30" s="118"/>
      <c r="J30" s="118"/>
      <c r="K30" s="118"/>
      <c r="M30" s="296"/>
    </row>
    <row r="31" spans="2:13" x14ac:dyDescent="0.25">
      <c r="C31" s="118"/>
      <c r="D31" s="183" t="s">
        <v>110</v>
      </c>
      <c r="E31" s="71"/>
      <c r="F31" s="135"/>
      <c r="G31" s="119"/>
      <c r="H31" s="118"/>
      <c r="I31" s="118"/>
      <c r="J31" s="118"/>
      <c r="K31" s="118"/>
      <c r="M31" s="296"/>
    </row>
    <row r="32" spans="2:13" x14ac:dyDescent="0.25">
      <c r="G32" s="92"/>
    </row>
    <row r="34" spans="1:5" s="137" customFormat="1" ht="7.5" customHeight="1" x14ac:dyDescent="0.25">
      <c r="C34" s="138"/>
      <c r="D34" s="139"/>
      <c r="E34" s="140"/>
    </row>
    <row r="35" spans="1:5" s="83" customFormat="1" ht="33.75" customHeight="1" x14ac:dyDescent="0.25">
      <c r="A35" s="141" t="s">
        <v>413</v>
      </c>
      <c r="C35" s="82"/>
    </row>
  </sheetData>
  <sheetProtection formatColumns="0" formatRows="0"/>
  <dataConsolidate/>
  <mergeCells count="3">
    <mergeCell ref="M28:M31"/>
    <mergeCell ref="M21:M22"/>
    <mergeCell ref="A3:H3"/>
  </mergeCells>
  <dataValidations count="5">
    <dataValidation type="date" allowBlank="1" showInputMessage="1" showErrorMessage="1" sqref="E5:E7" xr:uid="{00000000-0002-0000-0300-000000000000}">
      <formula1>43466</formula1>
      <formula2>72686</formula2>
    </dataValidation>
    <dataValidation type="list" allowBlank="1" showInputMessage="1" showErrorMessage="1" sqref="H10" xr:uid="{00000000-0002-0000-0300-000001000000}">
      <formula1>"Yes,No,NA"</formula1>
    </dataValidation>
    <dataValidation type="list" allowBlank="1" showInputMessage="1" showErrorMessage="1" sqref="E31" xr:uid="{00000000-0002-0000-0300-000003000000}">
      <formula1>"N/A,36 months or less, 37-60 months,60+ months"</formula1>
    </dataValidation>
    <dataValidation type="list" allowBlank="1" showInputMessage="1" showErrorMessage="1" sqref="E8" xr:uid="{C39C914C-ED7B-45D0-A3ED-6A94A7212252}">
      <formula1>"Yes, No"</formula1>
    </dataValidation>
    <dataValidation type="list" errorStyle="warning" showInputMessage="1" showErrorMessage="1" errorTitle="SmartDox" error="The value you entered for the dropdown is not valid." sqref="E30" xr:uid="{8D58F280-774C-43F1-8709-71C7F7104086}">
      <formula1>SD_D_PL_UDF_516_Name</formula1>
    </dataValidation>
  </dataValidations>
  <hyperlinks>
    <hyperlink ref="D17" r:id="rId1" xr:uid="{00000000-0004-0000-0300-000000000000}"/>
  </hyperlinks>
  <pageMargins left="0.7" right="0.7" top="0.75" bottom="0.75" header="0.3" footer="0.3"/>
  <pageSetup scale="28" orientation="portrait"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1"/>
  <sheetViews>
    <sheetView showGridLines="0" topLeftCell="A14" zoomScale="80" zoomScaleNormal="80" zoomScaleSheetLayoutView="85" workbookViewId="0">
      <selection activeCell="A34" sqref="A34:XFD37"/>
    </sheetView>
  </sheetViews>
  <sheetFormatPr defaultColWidth="10.28515625" defaultRowHeight="15" x14ac:dyDescent="0.25"/>
  <cols>
    <col min="1" max="3" width="4.7109375" style="5" customWidth="1"/>
    <col min="4" max="4" width="49" style="5" customWidth="1"/>
    <col min="5" max="11" width="28.5703125" style="5" customWidth="1"/>
    <col min="12" max="12" width="17.140625" style="5" customWidth="1"/>
    <col min="13" max="13" width="34.140625" style="5" customWidth="1"/>
    <col min="14" max="14" width="19.85546875" style="5" customWidth="1"/>
    <col min="15" max="15" width="17.28515625" style="5" customWidth="1"/>
    <col min="16" max="16" width="34.28515625" style="5" customWidth="1"/>
    <col min="17" max="17" width="21.140625" style="5" customWidth="1"/>
    <col min="18" max="18" width="17.42578125" style="5" customWidth="1"/>
    <col min="19" max="19" width="34.140625" style="5" customWidth="1"/>
    <col min="20" max="20" width="23" style="5" customWidth="1"/>
    <col min="21" max="21" width="17.140625" style="5" customWidth="1"/>
    <col min="22" max="22" width="34.28515625" style="5" customWidth="1"/>
    <col min="23" max="26" width="23" style="5" customWidth="1"/>
    <col min="27" max="16384" width="10.28515625" style="5"/>
  </cols>
  <sheetData>
    <row r="1" spans="1:13" s="9" customFormat="1" ht="65.099999999999994" customHeight="1" x14ac:dyDescent="0.25">
      <c r="B1" s="80"/>
    </row>
    <row r="2" spans="1:13" s="83" customFormat="1" ht="33.75" customHeight="1" x14ac:dyDescent="0.25">
      <c r="A2" s="81" t="s">
        <v>510</v>
      </c>
      <c r="B2" s="82"/>
    </row>
    <row r="3" spans="1:13" s="84" customFormat="1" ht="20.100000000000001" customHeight="1" x14ac:dyDescent="0.25">
      <c r="A3" s="281" t="str">
        <f>IF(Deal_Name="","",Deal_Name)</f>
        <v/>
      </c>
      <c r="B3" s="281"/>
      <c r="C3" s="281"/>
      <c r="D3" s="281"/>
      <c r="E3" s="281"/>
      <c r="F3" s="281"/>
      <c r="G3" s="281"/>
      <c r="H3" s="281"/>
      <c r="I3" s="281"/>
    </row>
    <row r="4" spans="1:13" s="85" customFormat="1" ht="15.75" x14ac:dyDescent="0.25">
      <c r="C4" s="86"/>
      <c r="D4" s="87"/>
      <c r="E4" s="88"/>
    </row>
    <row r="5" spans="1:13" s="9" customFormat="1" ht="18" x14ac:dyDescent="0.25">
      <c r="B5" s="146" t="s">
        <v>118</v>
      </c>
      <c r="D5" s="147"/>
      <c r="E5" s="148"/>
    </row>
    <row r="6" spans="1:13" s="9" customFormat="1" ht="15.75" x14ac:dyDescent="0.25">
      <c r="C6" s="90"/>
      <c r="D6" s="147"/>
      <c r="E6" s="148"/>
    </row>
    <row r="7" spans="1:13" s="9" customFormat="1" ht="14.25" customHeight="1" x14ac:dyDescent="0.25">
      <c r="C7" s="7"/>
      <c r="G7" s="103"/>
      <c r="H7" s="149"/>
      <c r="M7" s="116"/>
    </row>
    <row r="8" spans="1:13" s="9" customFormat="1" ht="14.25" customHeight="1" x14ac:dyDescent="0.25">
      <c r="B8" s="7" t="s">
        <v>28</v>
      </c>
      <c r="D8" s="5"/>
      <c r="E8" s="5"/>
      <c r="F8" s="113"/>
      <c r="G8" s="103"/>
      <c r="H8" s="149"/>
      <c r="M8" s="150"/>
    </row>
    <row r="9" spans="1:13" s="9" customFormat="1" ht="14.25" customHeight="1" x14ac:dyDescent="0.25">
      <c r="C9" s="7"/>
    </row>
    <row r="10" spans="1:13" x14ac:dyDescent="0.25">
      <c r="D10" s="5" t="s">
        <v>29</v>
      </c>
      <c r="E10" s="191"/>
      <c r="F10" s="294"/>
      <c r="G10" s="295"/>
      <c r="H10" s="151"/>
      <c r="I10" s="152"/>
      <c r="J10" s="9"/>
      <c r="K10" s="153"/>
      <c r="M10" s="136"/>
    </row>
    <row r="11" spans="1:13" x14ac:dyDescent="0.25">
      <c r="D11" s="5" t="s">
        <v>30</v>
      </c>
      <c r="E11" s="68"/>
      <c r="H11" s="9"/>
      <c r="I11" s="9"/>
      <c r="J11" s="9"/>
    </row>
    <row r="12" spans="1:13" x14ac:dyDescent="0.25">
      <c r="D12" s="5" t="s">
        <v>511</v>
      </c>
      <c r="E12" s="191"/>
      <c r="H12" s="9"/>
      <c r="I12" s="9"/>
      <c r="J12" s="9"/>
    </row>
    <row r="13" spans="1:13" x14ac:dyDescent="0.25">
      <c r="D13" s="115"/>
      <c r="E13" s="41"/>
      <c r="F13" s="115"/>
      <c r="I13" s="124"/>
      <c r="J13" s="124"/>
    </row>
    <row r="14" spans="1:13" x14ac:dyDescent="0.25">
      <c r="B14" s="102"/>
      <c r="C14" s="102"/>
      <c r="D14" s="125"/>
      <c r="E14" s="134"/>
      <c r="F14" s="125"/>
      <c r="G14" s="102"/>
      <c r="H14" s="102"/>
    </row>
    <row r="15" spans="1:13" ht="18" x14ac:dyDescent="0.25">
      <c r="B15" s="7" t="s">
        <v>79</v>
      </c>
      <c r="D15" s="115"/>
      <c r="E15" s="41"/>
      <c r="F15" s="115"/>
    </row>
    <row r="16" spans="1:13" x14ac:dyDescent="0.25">
      <c r="D16" s="115"/>
      <c r="E16" s="41"/>
      <c r="F16" s="115"/>
    </row>
    <row r="17" spans="2:11" x14ac:dyDescent="0.25">
      <c r="D17" s="115" t="s">
        <v>82</v>
      </c>
      <c r="E17" s="192"/>
      <c r="F17" s="166"/>
    </row>
    <row r="18" spans="2:11" x14ac:dyDescent="0.25">
      <c r="D18" s="115" t="s">
        <v>512</v>
      </c>
      <c r="E18" s="192"/>
      <c r="F18" s="166"/>
    </row>
    <row r="19" spans="2:11" x14ac:dyDescent="0.25">
      <c r="D19" s="115" t="s">
        <v>81</v>
      </c>
      <c r="E19" s="192"/>
      <c r="F19" s="166" t="s">
        <v>119</v>
      </c>
    </row>
    <row r="20" spans="2:11" x14ac:dyDescent="0.25">
      <c r="D20" s="53" t="s">
        <v>675</v>
      </c>
      <c r="E20" s="192"/>
      <c r="F20" s="115"/>
    </row>
    <row r="21" spans="2:11" x14ac:dyDescent="0.25">
      <c r="D21" s="115"/>
      <c r="E21" s="41"/>
      <c r="F21" s="115"/>
      <c r="H21" s="66"/>
      <c r="I21" s="167"/>
      <c r="J21" s="167"/>
      <c r="K21" s="66"/>
    </row>
    <row r="22" spans="2:11" x14ac:dyDescent="0.25">
      <c r="B22" s="102"/>
      <c r="C22" s="102"/>
      <c r="D22" s="125"/>
      <c r="E22" s="125"/>
      <c r="F22" s="125"/>
      <c r="G22" s="102"/>
      <c r="H22" s="102"/>
    </row>
    <row r="23" spans="2:11" ht="18" x14ac:dyDescent="0.25">
      <c r="B23" s="7" t="s">
        <v>31</v>
      </c>
      <c r="E23" s="168"/>
    </row>
    <row r="24" spans="2:11" ht="15" customHeight="1" x14ac:dyDescent="0.25">
      <c r="D24" s="169"/>
      <c r="E24" s="65"/>
      <c r="F24" s="65"/>
      <c r="G24" s="65"/>
      <c r="H24" s="65"/>
      <c r="I24" s="170"/>
    </row>
    <row r="25" spans="2:11" ht="15" customHeight="1" x14ac:dyDescent="0.25">
      <c r="D25" s="171"/>
      <c r="E25" s="172" t="s">
        <v>453</v>
      </c>
      <c r="F25" s="172" t="s">
        <v>454</v>
      </c>
      <c r="G25" s="172" t="s">
        <v>32</v>
      </c>
      <c r="H25" s="172" t="s">
        <v>33</v>
      </c>
      <c r="I25" s="172" t="s">
        <v>34</v>
      </c>
      <c r="J25" s="172" t="s">
        <v>35</v>
      </c>
    </row>
    <row r="26" spans="2:11" ht="15" customHeight="1" x14ac:dyDescent="0.25">
      <c r="D26" s="173" t="s">
        <v>36</v>
      </c>
      <c r="E26" s="55"/>
      <c r="F26" s="55"/>
      <c r="G26" s="55"/>
      <c r="H26" s="55"/>
      <c r="I26" s="55"/>
      <c r="J26" s="55"/>
      <c r="K26" s="174">
        <f>SUM(E26:J26)</f>
        <v>0</v>
      </c>
    </row>
    <row r="27" spans="2:11" ht="15" customHeight="1" x14ac:dyDescent="0.25">
      <c r="D27" s="173" t="s">
        <v>37</v>
      </c>
      <c r="E27" s="55"/>
      <c r="F27" s="55"/>
      <c r="G27" s="55"/>
      <c r="H27" s="55"/>
      <c r="I27" s="55"/>
      <c r="J27" s="55"/>
      <c r="K27" s="174">
        <f t="shared" ref="K27:K30" si="0">SUM(E27:J27)</f>
        <v>0</v>
      </c>
    </row>
    <row r="28" spans="2:11" ht="15" customHeight="1" x14ac:dyDescent="0.25">
      <c r="D28" s="173" t="s">
        <v>38</v>
      </c>
      <c r="E28" s="55"/>
      <c r="F28" s="55"/>
      <c r="G28" s="55"/>
      <c r="H28" s="55"/>
      <c r="I28" s="55"/>
      <c r="J28" s="55"/>
      <c r="K28" s="174">
        <f t="shared" si="0"/>
        <v>0</v>
      </c>
    </row>
    <row r="29" spans="2:11" ht="15" customHeight="1" x14ac:dyDescent="0.25">
      <c r="D29" s="173" t="s">
        <v>39</v>
      </c>
      <c r="E29" s="55"/>
      <c r="F29" s="55"/>
      <c r="G29" s="55"/>
      <c r="H29" s="55"/>
      <c r="I29" s="55"/>
      <c r="J29" s="55"/>
      <c r="K29" s="174">
        <f t="shared" si="0"/>
        <v>0</v>
      </c>
    </row>
    <row r="30" spans="2:11" ht="15" customHeight="1" x14ac:dyDescent="0.25">
      <c r="D30" s="173" t="s">
        <v>40</v>
      </c>
      <c r="E30" s="55"/>
      <c r="F30" s="55"/>
      <c r="G30" s="55"/>
      <c r="H30" s="55"/>
      <c r="I30" s="55"/>
      <c r="J30" s="55"/>
      <c r="K30" s="174">
        <f t="shared" si="0"/>
        <v>0</v>
      </c>
    </row>
    <row r="31" spans="2:11" ht="15" customHeight="1" x14ac:dyDescent="0.25">
      <c r="D31" s="175" t="s">
        <v>77</v>
      </c>
      <c r="E31" s="174">
        <f>SUM(E26:E30)</f>
        <v>0</v>
      </c>
      <c r="F31" s="174">
        <f t="shared" ref="F31:J31" si="1">SUM(F26:F30)</f>
        <v>0</v>
      </c>
      <c r="G31" s="174">
        <f t="shared" si="1"/>
        <v>0</v>
      </c>
      <c r="H31" s="174">
        <f t="shared" si="1"/>
        <v>0</v>
      </c>
      <c r="I31" s="174">
        <f t="shared" si="1"/>
        <v>0</v>
      </c>
      <c r="J31" s="174">
        <f t="shared" si="1"/>
        <v>0</v>
      </c>
      <c r="K31" s="174">
        <f>SUM(E31:J31)</f>
        <v>0</v>
      </c>
    </row>
    <row r="32" spans="2:11" ht="15" customHeight="1" x14ac:dyDescent="0.25">
      <c r="D32" s="176"/>
      <c r="E32" s="66"/>
      <c r="F32" s="66"/>
      <c r="G32" s="66"/>
      <c r="H32" s="66"/>
      <c r="I32" s="66"/>
      <c r="J32" s="66"/>
    </row>
    <row r="33" spans="1:13" s="178" customFormat="1" x14ac:dyDescent="0.25">
      <c r="E33" s="179"/>
      <c r="I33" s="180"/>
      <c r="J33" s="180"/>
    </row>
    <row r="34" spans="1:13" s="178" customFormat="1" x14ac:dyDescent="0.25">
      <c r="B34" s="181"/>
      <c r="C34" s="181"/>
      <c r="D34" s="181"/>
      <c r="E34" s="182"/>
      <c r="F34" s="181"/>
      <c r="G34" s="181"/>
      <c r="H34" s="181"/>
    </row>
    <row r="35" spans="1:13" ht="18" x14ac:dyDescent="0.25">
      <c r="B35" s="7" t="s">
        <v>101</v>
      </c>
      <c r="M35" s="296"/>
    </row>
    <row r="36" spans="1:13" x14ac:dyDescent="0.25">
      <c r="C36" s="118"/>
      <c r="D36" s="118"/>
      <c r="E36" s="118"/>
      <c r="F36" s="118"/>
      <c r="G36" s="118"/>
      <c r="H36" s="118"/>
      <c r="I36" s="118"/>
      <c r="J36" s="118"/>
      <c r="K36" s="118"/>
      <c r="M36" s="296"/>
    </row>
    <row r="37" spans="1:13" x14ac:dyDescent="0.25">
      <c r="C37" s="118"/>
      <c r="D37" s="183" t="s">
        <v>110</v>
      </c>
      <c r="E37" s="71"/>
      <c r="F37" s="135"/>
      <c r="G37" s="118"/>
      <c r="H37" s="118"/>
      <c r="I37" s="118"/>
      <c r="J37" s="118"/>
      <c r="K37" s="118"/>
      <c r="M37" s="296"/>
    </row>
    <row r="40" spans="1:13" s="137" customFormat="1" ht="7.5" customHeight="1" x14ac:dyDescent="0.25">
      <c r="D40" s="138"/>
      <c r="E40" s="139"/>
      <c r="F40" s="140"/>
    </row>
    <row r="41" spans="1:13" s="83" customFormat="1" ht="33.75" customHeight="1" x14ac:dyDescent="0.25">
      <c r="A41" s="141" t="s">
        <v>413</v>
      </c>
      <c r="D41" s="82"/>
    </row>
  </sheetData>
  <sheetProtection formatColumns="0" formatRows="0"/>
  <dataConsolidate/>
  <mergeCells count="3">
    <mergeCell ref="A3:I3"/>
    <mergeCell ref="F10:G10"/>
    <mergeCell ref="M35:M37"/>
  </mergeCells>
  <dataValidations count="5">
    <dataValidation type="list" allowBlank="1" showInputMessage="1" showErrorMessage="1" sqref="E10" xr:uid="{00000000-0002-0000-0500-000000000000}">
      <formula1>"New Construction, Acq/Rehab, Preservation"</formula1>
    </dataValidation>
    <dataValidation type="list" allowBlank="1" showInputMessage="1" showErrorMessage="1" sqref="E37" xr:uid="{00000000-0002-0000-0500-000001000000}">
      <formula1>"N/A,36 months or less, 37-60 months,60+ months"</formula1>
    </dataValidation>
    <dataValidation type="list" allowBlank="1" showInputMessage="1" showErrorMessage="1" sqref="H7:H8" xr:uid="{00000000-0002-0000-0500-000002000000}">
      <formula1>"Yes,No,NA"</formula1>
    </dataValidation>
    <dataValidation type="date" allowBlank="1" showInputMessage="1" showErrorMessage="1" sqref="E5:E6" xr:uid="{00000000-0002-0000-0500-000003000000}">
      <formula1>43466</formula1>
      <formula2>72686</formula2>
    </dataValidation>
    <dataValidation type="list" allowBlank="1" showInputMessage="1" showErrorMessage="1" sqref="E12" xr:uid="{00000000-0002-0000-0500-000004000000}">
      <formula1>"Publicly Supported Housing,Federal Rent Assisted Housing"</formula1>
    </dataValidation>
  </dataValidations>
  <hyperlinks>
    <hyperlink ref="D20" r:id="rId1" xr:uid="{00000000-0004-0000-0500-000000000000}"/>
  </hyperlinks>
  <pageMargins left="0.7" right="0.7" top="0.75" bottom="0.75" header="0.3" footer="0.3"/>
  <pageSetup scale="28"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M39"/>
  <sheetViews>
    <sheetView showGridLines="0" zoomScale="80" zoomScaleNormal="80" zoomScaleSheetLayoutView="85" workbookViewId="0">
      <selection activeCell="F7" sqref="F7"/>
    </sheetView>
  </sheetViews>
  <sheetFormatPr defaultColWidth="10.28515625" defaultRowHeight="15" x14ac:dyDescent="0.25"/>
  <cols>
    <col min="1" max="2" width="4.7109375" style="5" customWidth="1"/>
    <col min="3" max="3" width="5" style="5" customWidth="1"/>
    <col min="4" max="12" width="28.5703125" style="5" customWidth="1"/>
    <col min="13" max="13" width="19.85546875" style="5" customWidth="1"/>
    <col min="14" max="14" width="17.28515625" style="5" customWidth="1"/>
    <col min="15" max="15" width="34.28515625" style="5" customWidth="1"/>
    <col min="16" max="16" width="21.140625" style="5" customWidth="1"/>
    <col min="17" max="17" width="17.42578125" style="5" customWidth="1"/>
    <col min="18" max="18" width="34.140625" style="5" customWidth="1"/>
    <col min="19" max="19" width="23" style="5" customWidth="1"/>
    <col min="20" max="20" width="17.140625" style="5" customWidth="1"/>
    <col min="21" max="21" width="34.28515625" style="5" customWidth="1"/>
    <col min="22" max="25" width="23" style="5" customWidth="1"/>
    <col min="26" max="16384" width="10.28515625" style="5"/>
  </cols>
  <sheetData>
    <row r="1" spans="1:10" s="9" customFormat="1" ht="65.099999999999994" customHeight="1" x14ac:dyDescent="0.25">
      <c r="B1" s="80"/>
    </row>
    <row r="2" spans="1:10" s="83" customFormat="1" ht="33.75" customHeight="1" x14ac:dyDescent="0.25">
      <c r="A2" s="81" t="s">
        <v>722</v>
      </c>
      <c r="B2" s="82"/>
    </row>
    <row r="3" spans="1:10" s="84" customFormat="1" ht="20.100000000000001" customHeight="1" x14ac:dyDescent="0.25">
      <c r="A3" s="281"/>
      <c r="B3" s="281"/>
      <c r="C3" s="281"/>
      <c r="D3" s="281"/>
      <c r="E3" s="281"/>
      <c r="F3" s="281"/>
      <c r="G3" s="281"/>
      <c r="H3" s="281"/>
    </row>
    <row r="4" spans="1:10" s="85" customFormat="1" ht="15.75" x14ac:dyDescent="0.25">
      <c r="C4" s="86"/>
      <c r="D4" s="87"/>
      <c r="E4" s="88"/>
    </row>
    <row r="5" spans="1:10" s="9" customFormat="1" ht="18" x14ac:dyDescent="0.25">
      <c r="B5" s="146" t="s">
        <v>118</v>
      </c>
      <c r="D5" s="147"/>
      <c r="E5" s="148"/>
    </row>
    <row r="6" spans="1:10" x14ac:dyDescent="0.25">
      <c r="B6" s="9"/>
      <c r="C6" s="9"/>
      <c r="D6" s="221"/>
      <c r="E6" s="41"/>
      <c r="F6" s="221"/>
      <c r="G6" s="9"/>
      <c r="H6" s="9"/>
    </row>
    <row r="7" spans="1:10" ht="18" x14ac:dyDescent="0.25">
      <c r="B7" s="7" t="s">
        <v>79</v>
      </c>
      <c r="D7" s="115"/>
      <c r="E7" s="41"/>
      <c r="F7" s="115"/>
    </row>
    <row r="8" spans="1:10" x14ac:dyDescent="0.25">
      <c r="D8" s="115"/>
      <c r="E8" s="41"/>
      <c r="F8" s="115"/>
    </row>
    <row r="9" spans="1:10" x14ac:dyDescent="0.25">
      <c r="D9" s="115" t="s">
        <v>716</v>
      </c>
      <c r="E9" s="224"/>
      <c r="F9" s="166"/>
    </row>
    <row r="10" spans="1:10" x14ac:dyDescent="0.25">
      <c r="D10" s="115" t="s">
        <v>512</v>
      </c>
      <c r="E10" s="224"/>
      <c r="F10" s="166"/>
    </row>
    <row r="11" spans="1:10" x14ac:dyDescent="0.25">
      <c r="D11" s="115" t="s">
        <v>81</v>
      </c>
      <c r="E11" s="224"/>
      <c r="F11" s="166"/>
    </row>
    <row r="12" spans="1:10" ht="30" x14ac:dyDescent="0.25">
      <c r="D12" s="220" t="s">
        <v>675</v>
      </c>
      <c r="E12" s="224"/>
      <c r="F12" s="115"/>
    </row>
    <row r="13" spans="1:10" ht="15" customHeight="1" x14ac:dyDescent="0.25">
      <c r="D13" s="176"/>
      <c r="E13" s="216"/>
      <c r="F13" s="216"/>
      <c r="G13" s="216"/>
      <c r="H13" s="216"/>
      <c r="I13" s="216"/>
      <c r="J13" s="216"/>
    </row>
    <row r="14" spans="1:10" ht="15" customHeight="1" x14ac:dyDescent="0.25">
      <c r="D14" s="190" t="s">
        <v>721</v>
      </c>
      <c r="E14" s="223">
        <f>SUM((SUM(E27:F27)*150000)+(G27*210000)+(H27*265000)+(SUM(I27:J27)*325000))</f>
        <v>0</v>
      </c>
      <c r="F14" s="227" t="s">
        <v>720</v>
      </c>
      <c r="G14" s="193"/>
      <c r="H14" s="193"/>
      <c r="I14" s="193"/>
      <c r="J14" s="193"/>
    </row>
    <row r="15" spans="1:10" ht="15" customHeight="1" x14ac:dyDescent="0.25">
      <c r="D15" s="190" t="s">
        <v>719</v>
      </c>
      <c r="E15" s="222" t="str">
        <f>IFERROR(E9/E14,"")</f>
        <v/>
      </c>
      <c r="F15" s="216"/>
      <c r="G15" s="216"/>
      <c r="H15" s="216"/>
      <c r="I15" s="216"/>
      <c r="J15" s="216"/>
    </row>
    <row r="16" spans="1:10" ht="15" customHeight="1" x14ac:dyDescent="0.25">
      <c r="D16" s="176"/>
      <c r="E16" s="216"/>
      <c r="F16" s="216"/>
      <c r="G16" s="216"/>
      <c r="H16" s="216"/>
      <c r="I16" s="216"/>
      <c r="J16" s="216"/>
    </row>
    <row r="17" spans="1:12" x14ac:dyDescent="0.25">
      <c r="D17" s="115"/>
      <c r="E17" s="41"/>
      <c r="F17" s="115"/>
      <c r="H17" s="193"/>
      <c r="I17" s="167"/>
      <c r="J17" s="167"/>
      <c r="K17" s="167"/>
      <c r="L17" s="167"/>
    </row>
    <row r="18" spans="1:12" x14ac:dyDescent="0.25">
      <c r="B18" s="102"/>
      <c r="C18" s="102"/>
      <c r="D18" s="125"/>
      <c r="E18" s="125"/>
      <c r="F18" s="125"/>
      <c r="G18" s="102"/>
      <c r="H18" s="102"/>
    </row>
    <row r="19" spans="1:12" ht="18" x14ac:dyDescent="0.25">
      <c r="B19" s="7" t="s">
        <v>31</v>
      </c>
      <c r="E19" s="168"/>
    </row>
    <row r="20" spans="1:12" ht="15" customHeight="1" x14ac:dyDescent="0.25">
      <c r="D20" s="169"/>
      <c r="E20" s="77"/>
      <c r="F20" s="77"/>
      <c r="G20" s="77"/>
      <c r="H20" s="77"/>
      <c r="I20" s="170"/>
    </row>
    <row r="21" spans="1:12" ht="15" customHeight="1" x14ac:dyDescent="0.25">
      <c r="D21" s="171"/>
      <c r="E21" s="172" t="s">
        <v>453</v>
      </c>
      <c r="F21" s="172" t="s">
        <v>454</v>
      </c>
      <c r="G21" s="172" t="s">
        <v>32</v>
      </c>
      <c r="H21" s="172" t="s">
        <v>33</v>
      </c>
      <c r="I21" s="172" t="s">
        <v>34</v>
      </c>
      <c r="J21" s="172" t="s">
        <v>35</v>
      </c>
      <c r="K21" s="172" t="s">
        <v>77</v>
      </c>
      <c r="L21" s="171"/>
    </row>
    <row r="22" spans="1:12" ht="15" customHeight="1" x14ac:dyDescent="0.25">
      <c r="D22" s="219" t="s">
        <v>36</v>
      </c>
      <c r="E22" s="225"/>
      <c r="F22" s="225"/>
      <c r="G22" s="225"/>
      <c r="H22" s="225"/>
      <c r="I22" s="225"/>
      <c r="J22" s="225"/>
      <c r="K22" s="174">
        <f>SUM(E22:J22)</f>
        <v>0</v>
      </c>
      <c r="L22" s="173" t="s">
        <v>36</v>
      </c>
    </row>
    <row r="23" spans="1:12" ht="15" customHeight="1" x14ac:dyDescent="0.25">
      <c r="D23" s="219" t="s">
        <v>37</v>
      </c>
      <c r="E23" s="225"/>
      <c r="F23" s="225"/>
      <c r="G23" s="225"/>
      <c r="H23" s="225"/>
      <c r="I23" s="225"/>
      <c r="J23" s="225"/>
      <c r="K23" s="174">
        <f t="shared" ref="K23:K27" si="0">SUM(E23:J23)</f>
        <v>0</v>
      </c>
      <c r="L23" s="173" t="s">
        <v>37</v>
      </c>
    </row>
    <row r="24" spans="1:12" ht="15" customHeight="1" x14ac:dyDescent="0.25">
      <c r="D24" s="219" t="s">
        <v>38</v>
      </c>
      <c r="E24" s="225"/>
      <c r="F24" s="225"/>
      <c r="G24" s="225"/>
      <c r="H24" s="225"/>
      <c r="I24" s="225"/>
      <c r="J24" s="225"/>
      <c r="K24" s="174">
        <f t="shared" si="0"/>
        <v>0</v>
      </c>
      <c r="L24" s="173" t="s">
        <v>38</v>
      </c>
    </row>
    <row r="25" spans="1:12" ht="15" customHeight="1" x14ac:dyDescent="0.25">
      <c r="D25" s="219" t="s">
        <v>39</v>
      </c>
      <c r="E25" s="225"/>
      <c r="F25" s="225"/>
      <c r="G25" s="225"/>
      <c r="H25" s="225"/>
      <c r="I25" s="225"/>
      <c r="J25" s="225"/>
      <c r="K25" s="174">
        <f t="shared" si="0"/>
        <v>0</v>
      </c>
      <c r="L25" s="173" t="s">
        <v>39</v>
      </c>
    </row>
    <row r="26" spans="1:12" ht="15" customHeight="1" x14ac:dyDescent="0.25">
      <c r="D26" s="219" t="s">
        <v>40</v>
      </c>
      <c r="E26" s="225"/>
      <c r="F26" s="225"/>
      <c r="G26" s="225"/>
      <c r="H26" s="225"/>
      <c r="I26" s="225"/>
      <c r="J26" s="225"/>
      <c r="K26" s="174">
        <f t="shared" si="0"/>
        <v>0</v>
      </c>
      <c r="L26" s="173" t="s">
        <v>40</v>
      </c>
    </row>
    <row r="27" spans="1:12" ht="15" customHeight="1" x14ac:dyDescent="0.25">
      <c r="D27" s="175" t="s">
        <v>77</v>
      </c>
      <c r="E27" s="174">
        <f t="shared" ref="E27:J27" si="1">SUM(E22:E26)</f>
        <v>0</v>
      </c>
      <c r="F27" s="174">
        <f t="shared" si="1"/>
        <v>0</v>
      </c>
      <c r="G27" s="174">
        <f t="shared" si="1"/>
        <v>0</v>
      </c>
      <c r="H27" s="174">
        <f t="shared" si="1"/>
        <v>0</v>
      </c>
      <c r="I27" s="174">
        <f t="shared" si="1"/>
        <v>0</v>
      </c>
      <c r="J27" s="174">
        <f t="shared" si="1"/>
        <v>0</v>
      </c>
      <c r="K27" s="174">
        <f t="shared" si="0"/>
        <v>0</v>
      </c>
      <c r="L27" s="218" t="s">
        <v>77</v>
      </c>
    </row>
    <row r="28" spans="1:12" ht="15" customHeight="1" x14ac:dyDescent="0.25">
      <c r="D28" s="176"/>
      <c r="E28" s="193"/>
      <c r="F28" s="193"/>
      <c r="G28" s="193"/>
      <c r="H28" s="193"/>
      <c r="I28" s="193"/>
      <c r="J28" s="193"/>
    </row>
    <row r="29" spans="1:12" ht="15" customHeight="1" x14ac:dyDescent="0.25">
      <c r="B29" s="293" t="s">
        <v>678</v>
      </c>
      <c r="C29" s="293"/>
      <c r="D29" s="293"/>
      <c r="E29" s="300"/>
      <c r="F29" s="193"/>
      <c r="G29" s="193"/>
      <c r="H29" s="193"/>
      <c r="I29" s="193"/>
      <c r="J29" s="193"/>
    </row>
    <row r="30" spans="1:12" ht="15" customHeight="1" x14ac:dyDescent="0.25">
      <c r="A30" s="210"/>
      <c r="B30" s="293"/>
      <c r="C30" s="293"/>
      <c r="D30" s="293"/>
      <c r="E30" s="300"/>
      <c r="F30" s="193"/>
      <c r="G30" s="193"/>
      <c r="H30" s="193"/>
      <c r="I30" s="193"/>
      <c r="J30" s="193"/>
    </row>
    <row r="31" spans="1:12" ht="15" customHeight="1" x14ac:dyDescent="0.25">
      <c r="B31" s="124"/>
      <c r="D31" s="176"/>
      <c r="E31" s="193"/>
      <c r="F31" s="193"/>
      <c r="G31" s="193"/>
      <c r="H31" s="193"/>
      <c r="I31" s="193"/>
      <c r="J31" s="193"/>
      <c r="K31" s="216"/>
      <c r="L31" s="216"/>
    </row>
    <row r="32" spans="1:12" x14ac:dyDescent="0.25">
      <c r="C32" s="102"/>
      <c r="D32" s="102"/>
      <c r="E32" s="102"/>
      <c r="F32" s="102"/>
      <c r="G32" s="102"/>
      <c r="H32" s="102"/>
      <c r="I32" s="102"/>
      <c r="J32" s="102"/>
    </row>
    <row r="33" spans="1:13" ht="18" x14ac:dyDescent="0.25">
      <c r="B33" s="7" t="s">
        <v>717</v>
      </c>
      <c r="M33" s="296"/>
    </row>
    <row r="34" spans="1:13" ht="18" x14ac:dyDescent="0.25">
      <c r="C34" s="7"/>
      <c r="M34" s="296"/>
    </row>
    <row r="35" spans="1:13" x14ac:dyDescent="0.25">
      <c r="A35" s="298" t="s">
        <v>718</v>
      </c>
      <c r="B35" s="298"/>
      <c r="C35" s="298"/>
      <c r="D35" s="299"/>
      <c r="E35" s="226"/>
      <c r="H35" s="297"/>
      <c r="I35" s="297"/>
      <c r="M35" s="296"/>
    </row>
    <row r="36" spans="1:13" x14ac:dyDescent="0.25">
      <c r="A36" s="298" t="s">
        <v>676</v>
      </c>
      <c r="B36" s="298"/>
      <c r="C36" s="298"/>
      <c r="D36" s="299"/>
      <c r="E36" s="226"/>
    </row>
    <row r="38" spans="1:13" s="137" customFormat="1" ht="7.5" customHeight="1" x14ac:dyDescent="0.25">
      <c r="C38" s="138"/>
      <c r="D38" s="139"/>
      <c r="E38" s="140"/>
    </row>
    <row r="39" spans="1:13" s="83" customFormat="1" ht="33.75" customHeight="1" x14ac:dyDescent="0.25">
      <c r="A39" s="141"/>
      <c r="C39" s="82"/>
    </row>
  </sheetData>
  <sheetProtection formatColumns="0" formatRows="0"/>
  <dataConsolidate/>
  <mergeCells count="7">
    <mergeCell ref="A3:H3"/>
    <mergeCell ref="M33:M35"/>
    <mergeCell ref="H35:I35"/>
    <mergeCell ref="A35:D35"/>
    <mergeCell ref="A36:D36"/>
    <mergeCell ref="B29:D30"/>
    <mergeCell ref="E29:E30"/>
  </mergeCells>
  <dataValidations count="1">
    <dataValidation type="date" allowBlank="1" showInputMessage="1" showErrorMessage="1" sqref="E5" xr:uid="{00000000-0002-0000-0600-000000000000}">
      <formula1>43466</formula1>
      <formula2>72686</formula2>
    </dataValidation>
  </dataValidations>
  <hyperlinks>
    <hyperlink ref="D12" r:id="rId1" xr:uid="{00000000-0004-0000-0600-000000000000}"/>
  </hyperlinks>
  <pageMargins left="0.7" right="0.7" top="0.75" bottom="0.75" header="0.3" footer="0.3"/>
  <pageSetup scale="28"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J30"/>
  <sheetViews>
    <sheetView zoomScale="80" zoomScaleNormal="80" zoomScaleSheetLayoutView="85" workbookViewId="0">
      <selection activeCell="F23" sqref="F23"/>
    </sheetView>
  </sheetViews>
  <sheetFormatPr defaultColWidth="10.28515625" defaultRowHeight="15" x14ac:dyDescent="0.25"/>
  <cols>
    <col min="1" max="1" width="4.7109375" style="5" customWidth="1"/>
    <col min="2" max="2" width="11" style="5" customWidth="1"/>
    <col min="3" max="3" width="44.5703125" style="5" customWidth="1"/>
    <col min="4" max="4" width="28.5703125" style="5" customWidth="1"/>
    <col min="5" max="5" width="7.28515625" style="5" customWidth="1"/>
    <col min="6" max="10" width="28.5703125" style="5" customWidth="1"/>
    <col min="11" max="11" width="17.140625" style="5" customWidth="1"/>
    <col min="12" max="12" width="34.140625" style="5" customWidth="1"/>
    <col min="13" max="13" width="19.85546875" style="5" customWidth="1"/>
    <col min="14" max="14" width="17.28515625" style="5" customWidth="1"/>
    <col min="15" max="15" width="34.28515625" style="5" customWidth="1"/>
    <col min="16" max="16" width="21.140625" style="5" customWidth="1"/>
    <col min="17" max="17" width="17.42578125" style="5" customWidth="1"/>
    <col min="18" max="18" width="34.140625" style="5" customWidth="1"/>
    <col min="19" max="19" width="23" style="5" customWidth="1"/>
    <col min="20" max="20" width="17.140625" style="5" customWidth="1"/>
    <col min="21" max="21" width="34.28515625" style="5" customWidth="1"/>
    <col min="22" max="25" width="23" style="5" customWidth="1"/>
    <col min="26" max="16384" width="10.28515625" style="5"/>
  </cols>
  <sheetData>
    <row r="1" spans="1:10" s="9" customFormat="1" ht="65.099999999999994" customHeight="1" x14ac:dyDescent="0.25">
      <c r="B1" s="80"/>
    </row>
    <row r="2" spans="1:10" s="83" customFormat="1" ht="33.75" customHeight="1" x14ac:dyDescent="0.25">
      <c r="A2" s="81" t="s">
        <v>117</v>
      </c>
      <c r="B2" s="82"/>
    </row>
    <row r="3" spans="1:10" s="84" customFormat="1" ht="20.100000000000001" customHeight="1" x14ac:dyDescent="0.25">
      <c r="A3" s="281" t="str">
        <f>IF(Deal_Name="","",Deal_Name)</f>
        <v/>
      </c>
      <c r="B3" s="281"/>
      <c r="C3" s="281"/>
      <c r="D3" s="281"/>
      <c r="E3" s="281"/>
      <c r="F3" s="281"/>
      <c r="G3" s="281"/>
      <c r="H3" s="281"/>
      <c r="I3" s="281"/>
    </row>
    <row r="4" spans="1:10" s="85" customFormat="1" ht="15.75" x14ac:dyDescent="0.25">
      <c r="B4" s="86"/>
      <c r="C4" s="87"/>
      <c r="D4" s="88"/>
    </row>
    <row r="5" spans="1:10" x14ac:dyDescent="0.25">
      <c r="A5" s="9"/>
      <c r="C5" s="115"/>
      <c r="D5" s="41"/>
      <c r="E5" s="115"/>
    </row>
    <row r="6" spans="1:10" ht="18" x14ac:dyDescent="0.25">
      <c r="A6" s="9"/>
      <c r="B6" s="7" t="s">
        <v>79</v>
      </c>
      <c r="C6" s="115"/>
      <c r="D6" s="41"/>
      <c r="E6" s="255"/>
    </row>
    <row r="7" spans="1:10" x14ac:dyDescent="0.25">
      <c r="A7" s="9"/>
      <c r="C7" s="115"/>
      <c r="D7" s="186"/>
      <c r="E7" s="255"/>
    </row>
    <row r="8" spans="1:10" x14ac:dyDescent="0.25">
      <c r="A8" s="9"/>
      <c r="C8" s="115" t="s">
        <v>723</v>
      </c>
      <c r="D8" s="56"/>
      <c r="E8" s="255"/>
    </row>
    <row r="9" spans="1:10" x14ac:dyDescent="0.25">
      <c r="A9" s="9"/>
      <c r="C9" s="115" t="s">
        <v>512</v>
      </c>
      <c r="D9" s="56"/>
      <c r="E9" s="255"/>
    </row>
    <row r="10" spans="1:10" x14ac:dyDescent="0.25">
      <c r="A10" s="9"/>
      <c r="C10" s="115" t="s">
        <v>724</v>
      </c>
      <c r="D10" s="56"/>
      <c r="E10" s="255"/>
    </row>
    <row r="11" spans="1:10" x14ac:dyDescent="0.25">
      <c r="A11" s="9"/>
      <c r="C11" s="115" t="s">
        <v>81</v>
      </c>
      <c r="D11" s="56"/>
      <c r="E11" s="255"/>
    </row>
    <row r="12" spans="1:10" x14ac:dyDescent="0.25">
      <c r="A12" s="9"/>
      <c r="C12" s="233" t="s">
        <v>675</v>
      </c>
      <c r="D12" s="56"/>
      <c r="E12" s="255"/>
    </row>
    <row r="13" spans="1:10" x14ac:dyDescent="0.25">
      <c r="A13" s="9"/>
      <c r="C13" s="115"/>
      <c r="D13" s="186"/>
      <c r="E13" s="255"/>
    </row>
    <row r="14" spans="1:10" x14ac:dyDescent="0.25">
      <c r="A14" s="9"/>
      <c r="C14" s="115" t="s">
        <v>744</v>
      </c>
      <c r="D14" s="262" t="str">
        <f>IFERROR(D8+D10/'Project Input'!J48,"-")</f>
        <v>-</v>
      </c>
      <c r="E14" s="255"/>
    </row>
    <row r="15" spans="1:10" x14ac:dyDescent="0.25">
      <c r="A15" s="9"/>
      <c r="B15" s="124"/>
      <c r="C15" s="188"/>
      <c r="D15" s="189"/>
      <c r="E15" s="255"/>
      <c r="F15" s="9"/>
      <c r="G15" s="9"/>
      <c r="H15" s="9"/>
      <c r="I15" s="9"/>
      <c r="J15" s="9"/>
    </row>
    <row r="16" spans="1:10" x14ac:dyDescent="0.25">
      <c r="A16" s="9"/>
      <c r="C16" s="115"/>
      <c r="D16" s="115"/>
      <c r="E16" s="255"/>
    </row>
    <row r="17" spans="1:9" ht="15" customHeight="1" x14ac:dyDescent="0.25">
      <c r="A17" s="9"/>
      <c r="B17" s="7" t="s">
        <v>725</v>
      </c>
      <c r="C17" s="176"/>
      <c r="D17" s="66"/>
      <c r="E17" s="251"/>
      <c r="F17" s="66"/>
      <c r="G17" s="66"/>
      <c r="H17" s="66"/>
      <c r="I17" s="66"/>
    </row>
    <row r="18" spans="1:9" ht="15" customHeight="1" x14ac:dyDescent="0.25">
      <c r="A18" s="9"/>
      <c r="B18" s="7"/>
      <c r="C18" s="176"/>
      <c r="D18" s="230"/>
      <c r="E18" s="251"/>
      <c r="F18" s="230"/>
      <c r="G18" s="230"/>
      <c r="H18" s="230"/>
      <c r="I18" s="230"/>
    </row>
    <row r="19" spans="1:9" ht="15" customHeight="1" x14ac:dyDescent="0.25">
      <c r="A19" s="9"/>
      <c r="B19" s="7"/>
      <c r="C19" s="212" t="s">
        <v>745</v>
      </c>
      <c r="D19" s="263"/>
      <c r="E19" s="251"/>
      <c r="F19" s="240"/>
      <c r="G19" s="240"/>
      <c r="H19" s="240"/>
      <c r="I19" s="240"/>
    </row>
    <row r="20" spans="1:9" ht="15" customHeight="1" x14ac:dyDescent="0.25">
      <c r="A20" s="9"/>
      <c r="B20" s="7"/>
      <c r="C20" s="176"/>
      <c r="D20" s="240"/>
      <c r="E20" s="251"/>
      <c r="F20" s="240"/>
      <c r="G20" s="240"/>
      <c r="H20" s="240"/>
      <c r="I20" s="240"/>
    </row>
    <row r="21" spans="1:9" ht="15" customHeight="1" x14ac:dyDescent="0.25">
      <c r="A21" s="9"/>
      <c r="C21" s="301" t="s">
        <v>734</v>
      </c>
      <c r="D21" s="234"/>
      <c r="E21" s="251"/>
      <c r="F21" s="230"/>
      <c r="G21" s="230"/>
      <c r="H21" s="230"/>
      <c r="I21" s="230"/>
    </row>
    <row r="22" spans="1:9" ht="15" customHeight="1" x14ac:dyDescent="0.25">
      <c r="A22" s="9"/>
      <c r="C22" s="301"/>
      <c r="D22" s="190"/>
      <c r="E22" s="251"/>
      <c r="F22" s="230"/>
      <c r="G22" s="230"/>
      <c r="H22" s="230"/>
      <c r="I22" s="230"/>
    </row>
    <row r="23" spans="1:9" ht="15" customHeight="1" x14ac:dyDescent="0.25">
      <c r="A23" s="9"/>
      <c r="C23" s="301"/>
      <c r="D23" s="190"/>
      <c r="E23" s="251"/>
      <c r="F23" s="239"/>
      <c r="G23" s="239"/>
      <c r="H23" s="239"/>
      <c r="I23" s="239"/>
    </row>
    <row r="24" spans="1:9" ht="8.25" customHeight="1" x14ac:dyDescent="0.25">
      <c r="A24" s="9"/>
      <c r="C24" s="241"/>
      <c r="D24" s="190"/>
      <c r="E24" s="251"/>
      <c r="F24" s="240"/>
      <c r="G24" s="240"/>
      <c r="H24" s="240"/>
      <c r="I24" s="240"/>
    </row>
    <row r="25" spans="1:9" ht="15" customHeight="1" x14ac:dyDescent="0.25">
      <c r="A25" s="9"/>
      <c r="C25" s="301" t="s">
        <v>726</v>
      </c>
      <c r="D25" s="234"/>
      <c r="E25" s="251"/>
      <c r="F25" s="66"/>
      <c r="G25" s="66"/>
      <c r="H25" s="66"/>
      <c r="I25" s="66"/>
    </row>
    <row r="26" spans="1:9" ht="15" customHeight="1" x14ac:dyDescent="0.25">
      <c r="A26" s="9"/>
      <c r="C26" s="301"/>
      <c r="D26" s="66"/>
      <c r="E26" s="251"/>
      <c r="F26" s="66"/>
      <c r="G26" s="66"/>
      <c r="H26" s="66"/>
      <c r="I26" s="66"/>
    </row>
    <row r="27" spans="1:9" ht="15" customHeight="1" x14ac:dyDescent="0.25">
      <c r="A27" s="9"/>
      <c r="C27" s="241"/>
      <c r="D27" s="240"/>
      <c r="E27" s="240"/>
      <c r="F27" s="240"/>
      <c r="G27" s="240"/>
      <c r="H27" s="240"/>
      <c r="I27" s="240"/>
    </row>
    <row r="29" spans="1:9" s="137" customFormat="1" ht="7.5" customHeight="1" x14ac:dyDescent="0.25">
      <c r="B29" s="138"/>
      <c r="C29" s="139"/>
      <c r="D29" s="140"/>
    </row>
    <row r="30" spans="1:9" s="83" customFormat="1" ht="33.75" customHeight="1" x14ac:dyDescent="0.25">
      <c r="A30" s="141" t="s">
        <v>413</v>
      </c>
      <c r="B30" s="82"/>
    </row>
  </sheetData>
  <sheetProtection formatColumns="0" formatRows="0"/>
  <dataConsolidate/>
  <mergeCells count="3">
    <mergeCell ref="A3:I3"/>
    <mergeCell ref="C25:C26"/>
    <mergeCell ref="C21:C23"/>
  </mergeCells>
  <dataValidations count="2">
    <dataValidation type="list" allowBlank="1" showInputMessage="1" showErrorMessage="1" sqref="D21 D25" xr:uid="{75B84CE8-59DF-453F-B07F-7B9FF51EEC55}">
      <formula1>"Yes,No"</formula1>
    </dataValidation>
    <dataValidation type="list" errorStyle="warning" showInputMessage="1" showErrorMessage="1" errorTitle="SmartDox" error="The value you entered for the dropdown is not valid." sqref="D19" xr:uid="{DD18F24E-878F-4077-A586-9324AEB66AA2}">
      <formula1>SD_D_PL_UDF_484_Name</formula1>
    </dataValidation>
  </dataValidations>
  <hyperlinks>
    <hyperlink ref="C12" r:id="rId1" xr:uid="{00000000-0004-0000-0400-000000000000}"/>
  </hyperlinks>
  <pageMargins left="0.7" right="0.7" top="0.75" bottom="0.75" header="0.3" footer="0.3"/>
  <pageSetup scale="28"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CE7C5E4A3334C87EE0D434D98CB58" ma:contentTypeVersion="4" ma:contentTypeDescription="Create a new document." ma:contentTypeScope="" ma:versionID="6ab58dc204f8a8cd8cbc391bbf52646a">
  <xsd:schema xmlns:xsd="http://www.w3.org/2001/XMLSchema" xmlns:xs="http://www.w3.org/2001/XMLSchema" xmlns:p="http://schemas.microsoft.com/office/2006/metadata/properties" xmlns:ns1="http://schemas.microsoft.com/sharepoint/v3" xmlns:ns2="414e15ea-35fd-4cff-b780-bb342b3dfcbd" targetNamespace="http://schemas.microsoft.com/office/2006/metadata/properties" ma:root="true" ma:fieldsID="7619ebd3057af673a87553db54f14099" ns1:_="" ns2:_="">
    <xsd:import namespace="http://schemas.microsoft.com/sharepoint/v3"/>
    <xsd:import namespace="414e15ea-35fd-4cff-b780-bb342b3dfcb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e15ea-35fd-4cff-b780-bb342b3dfcbd" elementFormDefault="qualified">
    <xsd:import namespace="http://schemas.microsoft.com/office/2006/documentManagement/types"/>
    <xsd:import namespace="http://schemas.microsoft.com/office/infopath/2007/PartnerControls"/>
    <xsd:element name="SharedWithUsers" ma:index="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C8EACDC-0739-432B-AAEC-1CAAF372A87C}"/>
</file>

<file path=customXml/itemProps2.xml><?xml version="1.0" encoding="utf-8"?>
<ds:datastoreItem xmlns:ds="http://schemas.openxmlformats.org/officeDocument/2006/customXml" ds:itemID="{9C317CB8-AA34-41FF-8229-277D9DC145DD}">
  <ds:schemaRefs>
    <ds:schemaRef ds:uri="http://schemas.microsoft.com/sharepoint/v3/contenttype/forms"/>
  </ds:schemaRefs>
</ds:datastoreItem>
</file>

<file path=customXml/itemProps3.xml><?xml version="1.0" encoding="utf-8"?>
<ds:datastoreItem xmlns:ds="http://schemas.openxmlformats.org/officeDocument/2006/customXml" ds:itemID="{A04AD281-79B1-4E92-9B63-5F4B329C0A25}">
  <ds:schemaRefs>
    <ds:schemaRef ds:uri="d8fa3d5b-5c9c-432f-8234-5a83e9959f15"/>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22fb714d-e98c-4269-a025-db412319e1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186</vt:i4>
      </vt:variant>
    </vt:vector>
  </HeadingPairs>
  <TitlesOfParts>
    <vt:vector size="197" baseType="lpstr">
      <vt:lpstr>Instructions</vt:lpstr>
      <vt:lpstr>Project Input</vt:lpstr>
      <vt:lpstr>Development Team</vt:lpstr>
      <vt:lpstr>NOFA 2021-2 (LIFT)</vt:lpstr>
      <vt:lpstr>NOFA 2021-4 (9% LIHTC)</vt:lpstr>
      <vt:lpstr>NOFA 2021-5 (HOME)</vt:lpstr>
      <vt:lpstr>NOFA 2020-6 (Preservation Gap)</vt:lpstr>
      <vt:lpstr>NOFA 2020-9 (Vets-GHAP)</vt:lpstr>
      <vt:lpstr>NOFA 2021-6 (PSH)</vt:lpstr>
      <vt:lpstr>Prolink</vt:lpstr>
      <vt:lpstr>Data - Regions</vt:lpstr>
      <vt:lpstr>_30__AMI</vt:lpstr>
      <vt:lpstr>Architect_Address</vt:lpstr>
      <vt:lpstr>Architect_City</vt:lpstr>
      <vt:lpstr>Architect_Email</vt:lpstr>
      <vt:lpstr>Architect_Federal_Tax_ID</vt:lpstr>
      <vt:lpstr>Architect_Name</vt:lpstr>
      <vt:lpstr>Architect_Same_as_other_entity?</vt:lpstr>
      <vt:lpstr>Architect_State</vt:lpstr>
      <vt:lpstr>Architect_Telephone</vt:lpstr>
      <vt:lpstr>Architect_Zip</vt:lpstr>
      <vt:lpstr>CoDeveloper_Address</vt:lpstr>
      <vt:lpstr>CoDeveloper_City</vt:lpstr>
      <vt:lpstr>CoDeveloper_County</vt:lpstr>
      <vt:lpstr>CoDeveloper_Email</vt:lpstr>
      <vt:lpstr>CoDeveloper_Federal_Tax_ID</vt:lpstr>
      <vt:lpstr>CoDeveloper_Name</vt:lpstr>
      <vt:lpstr>CoDeveloper_State</vt:lpstr>
      <vt:lpstr>CoDeveloper_Telephone</vt:lpstr>
      <vt:lpstr>CoDeveloper_Zip</vt:lpstr>
      <vt:lpstr>Consultant_Address</vt:lpstr>
      <vt:lpstr>Consultant_City</vt:lpstr>
      <vt:lpstr>Consultant_County</vt:lpstr>
      <vt:lpstr>Consultant_Federal_Tax_ID</vt:lpstr>
      <vt:lpstr>Consultant_Name</vt:lpstr>
      <vt:lpstr>Consultant_State</vt:lpstr>
      <vt:lpstr>Consultant_Zip</vt:lpstr>
      <vt:lpstr>Deal_Name</vt:lpstr>
      <vt:lpstr>Deal_Number</vt:lpstr>
      <vt:lpstr>Developer_Address</vt:lpstr>
      <vt:lpstr>Developer_City</vt:lpstr>
      <vt:lpstr>Developer_County</vt:lpstr>
      <vt:lpstr>Developer_Email</vt:lpstr>
      <vt:lpstr>Developer_Federal_Tax_ID</vt:lpstr>
      <vt:lpstr>Developer_Name</vt:lpstr>
      <vt:lpstr>Developer_State</vt:lpstr>
      <vt:lpstr>Developer_Telephone</vt:lpstr>
      <vt:lpstr>Developer_Zip</vt:lpstr>
      <vt:lpstr>GeneralContractor_Address</vt:lpstr>
      <vt:lpstr>GeneralContractor_City</vt:lpstr>
      <vt:lpstr>GeneralContractor_County</vt:lpstr>
      <vt:lpstr>GeneralContractor_Email</vt:lpstr>
      <vt:lpstr>GeneralContractor_Federal_Tax_ID</vt:lpstr>
      <vt:lpstr>GeneralContractor_Name</vt:lpstr>
      <vt:lpstr>GeneralContractor_Same_as_other_entity?</vt:lpstr>
      <vt:lpstr>GeneralContractor_State</vt:lpstr>
      <vt:lpstr>GeneralContractor_Telephone</vt:lpstr>
      <vt:lpstr>GeneralContractor_Zip</vt:lpstr>
      <vt:lpstr>HOME_Units_with_PBRA</vt:lpstr>
      <vt:lpstr>If_yes__how_many?</vt:lpstr>
      <vt:lpstr>'NOFA 2020-9 (Vets-GHAP)'!LIHTC_30_1BR</vt:lpstr>
      <vt:lpstr>LIHTC_30_1BR</vt:lpstr>
      <vt:lpstr>'NOFA 2020-9 (Vets-GHAP)'!LIHTC_30_2BR</vt:lpstr>
      <vt:lpstr>LIHTC_30_2BR</vt:lpstr>
      <vt:lpstr>'NOFA 2020-9 (Vets-GHAP)'!LIHTC_30_3BR</vt:lpstr>
      <vt:lpstr>LIHTC_30_3BR</vt:lpstr>
      <vt:lpstr>'NOFA 2020-9 (Vets-GHAP)'!LIHTC_30_4BR</vt:lpstr>
      <vt:lpstr>LIHTC_30_4BR</vt:lpstr>
      <vt:lpstr>'NOFA 2020-9 (Vets-GHAP)'!LIHTC_30_SRO</vt:lpstr>
      <vt:lpstr>LIHTC_30_SRO</vt:lpstr>
      <vt:lpstr>'NOFA 2020-9 (Vets-GHAP)'!LIHTC_30_STU</vt:lpstr>
      <vt:lpstr>LIHTC_30_STU</vt:lpstr>
      <vt:lpstr>'NOFA 2020-9 (Vets-GHAP)'!LIHTC_40_1BR</vt:lpstr>
      <vt:lpstr>LIHTC_40_1BR</vt:lpstr>
      <vt:lpstr>'NOFA 2020-9 (Vets-GHAP)'!LIHTC_40_2BR</vt:lpstr>
      <vt:lpstr>LIHTC_40_2BR</vt:lpstr>
      <vt:lpstr>'NOFA 2020-9 (Vets-GHAP)'!LIHTC_40_3BR</vt:lpstr>
      <vt:lpstr>LIHTC_40_3BR</vt:lpstr>
      <vt:lpstr>'NOFA 2020-9 (Vets-GHAP)'!LIHTC_40_4BR</vt:lpstr>
      <vt:lpstr>LIHTC_40_4BR</vt:lpstr>
      <vt:lpstr>'NOFA 2020-9 (Vets-GHAP)'!LIHTC_40_SRO</vt:lpstr>
      <vt:lpstr>LIHTC_40_SRO</vt:lpstr>
      <vt:lpstr>'NOFA 2020-9 (Vets-GHAP)'!LIHTC_40_STU</vt:lpstr>
      <vt:lpstr>LIHTC_40_STU</vt:lpstr>
      <vt:lpstr>'NOFA 2020-9 (Vets-GHAP)'!LIHTC_50_1BR</vt:lpstr>
      <vt:lpstr>LIHTC_50_1BR</vt:lpstr>
      <vt:lpstr>'NOFA 2020-9 (Vets-GHAP)'!LIHTC_50_2BR</vt:lpstr>
      <vt:lpstr>LIHTC_50_2BR</vt:lpstr>
      <vt:lpstr>'NOFA 2020-9 (Vets-GHAP)'!LIHTC_50_3BR</vt:lpstr>
      <vt:lpstr>LIHTC_50_3BR</vt:lpstr>
      <vt:lpstr>'NOFA 2020-9 (Vets-GHAP)'!LIHTC_50_4BR</vt:lpstr>
      <vt:lpstr>LIHTC_50_4BR</vt:lpstr>
      <vt:lpstr>'NOFA 2020-9 (Vets-GHAP)'!LIHTC_50_SRO</vt:lpstr>
      <vt:lpstr>LIHTC_50_SRO</vt:lpstr>
      <vt:lpstr>'NOFA 2020-9 (Vets-GHAP)'!LIHTC_50_STU</vt:lpstr>
      <vt:lpstr>LIHTC_50_STU</vt:lpstr>
      <vt:lpstr>'NOFA 2020-9 (Vets-GHAP)'!LIHTC_60_1BR</vt:lpstr>
      <vt:lpstr>LIHTC_60_1BR</vt:lpstr>
      <vt:lpstr>'NOFA 2020-9 (Vets-GHAP)'!LIHTC_60_2BR</vt:lpstr>
      <vt:lpstr>LIHTC_60_2BR</vt:lpstr>
      <vt:lpstr>'NOFA 2020-9 (Vets-GHAP)'!LIHTC_60_3BR</vt:lpstr>
      <vt:lpstr>LIHTC_60_3BR</vt:lpstr>
      <vt:lpstr>'NOFA 2020-9 (Vets-GHAP)'!LIHTC_60_4BR</vt:lpstr>
      <vt:lpstr>LIHTC_60_4BR</vt:lpstr>
      <vt:lpstr>'NOFA 2020-9 (Vets-GHAP)'!LIHTC_60_SRO</vt:lpstr>
      <vt:lpstr>LIHTC_60_SRO</vt:lpstr>
      <vt:lpstr>'NOFA 2020-9 (Vets-GHAP)'!LIHTC_60_STU</vt:lpstr>
      <vt:lpstr>LIHTC_60_STU</vt:lpstr>
      <vt:lpstr>'NOFA 2020-9 (Vets-GHAP)'!LIHTC_61_1BR</vt:lpstr>
      <vt:lpstr>LIHTC_61_1BR</vt:lpstr>
      <vt:lpstr>'NOFA 2020-9 (Vets-GHAP)'!LIHTC_61_2BR</vt:lpstr>
      <vt:lpstr>LIHTC_61_2BR</vt:lpstr>
      <vt:lpstr>'NOFA 2020-9 (Vets-GHAP)'!LIHTC_61_3BR</vt:lpstr>
      <vt:lpstr>LIHTC_61_3BR</vt:lpstr>
      <vt:lpstr>'NOFA 2020-9 (Vets-GHAP)'!LIHTC_61_4BR</vt:lpstr>
      <vt:lpstr>LIHTC_61_4BR</vt:lpstr>
      <vt:lpstr>'NOFA 2020-9 (Vets-GHAP)'!LIHTC_61_SRO</vt:lpstr>
      <vt:lpstr>LIHTC_61_SRO</vt:lpstr>
      <vt:lpstr>'NOFA 2020-9 (Vets-GHAP)'!LIHTC_61_STU</vt:lpstr>
      <vt:lpstr>LIHTC_61_STU</vt:lpstr>
      <vt:lpstr>Loc_Main_Census</vt:lpstr>
      <vt:lpstr>Loc_Main_Congress</vt:lpstr>
      <vt:lpstr>Loc_Main_House</vt:lpstr>
      <vt:lpstr>Loc_Main_Lat</vt:lpstr>
      <vt:lpstr>Loc_Main_Lon</vt:lpstr>
      <vt:lpstr>Loc_Main_Senate</vt:lpstr>
      <vt:lpstr>ManagementCompany_Address</vt:lpstr>
      <vt:lpstr>ManagementCompany_City</vt:lpstr>
      <vt:lpstr>ManagementCompany_County</vt:lpstr>
      <vt:lpstr>ManagementCompany_Email</vt:lpstr>
      <vt:lpstr>ManagementCompany_Federal_Tax_ID</vt:lpstr>
      <vt:lpstr>ManagementCompany_Name</vt:lpstr>
      <vt:lpstr>ManagementCompany_Same_as_other_entity?</vt:lpstr>
      <vt:lpstr>ManagementCompany_State</vt:lpstr>
      <vt:lpstr>ManagementCompany_Telephone</vt:lpstr>
      <vt:lpstr>ManagementCompany_Zip</vt:lpstr>
      <vt:lpstr>PRES_30_1BR</vt:lpstr>
      <vt:lpstr>PRES_30_2BR</vt:lpstr>
      <vt:lpstr>PRES_30_3BR</vt:lpstr>
      <vt:lpstr>PRES_30_4BR</vt:lpstr>
      <vt:lpstr>PRES_30_SRO</vt:lpstr>
      <vt:lpstr>PRES_30_STU</vt:lpstr>
      <vt:lpstr>PRES_40_1BR</vt:lpstr>
      <vt:lpstr>PRES_40_2BR</vt:lpstr>
      <vt:lpstr>PRES_40_3BR</vt:lpstr>
      <vt:lpstr>PRES_40_4BR</vt:lpstr>
      <vt:lpstr>PRES_40_SRO</vt:lpstr>
      <vt:lpstr>PRES_40_STU</vt:lpstr>
      <vt:lpstr>PRES_50_1BR</vt:lpstr>
      <vt:lpstr>PRES_50_2BR</vt:lpstr>
      <vt:lpstr>PRES_50_3BR</vt:lpstr>
      <vt:lpstr>PRES_50_4BR</vt:lpstr>
      <vt:lpstr>PRES_50_SRO</vt:lpstr>
      <vt:lpstr>PRES_50_STU</vt:lpstr>
      <vt:lpstr>PRES_60_1BR</vt:lpstr>
      <vt:lpstr>PRES_60_2BR</vt:lpstr>
      <vt:lpstr>PRES_60_3BR</vt:lpstr>
      <vt:lpstr>PRES_60_4BR</vt:lpstr>
      <vt:lpstr>PRES_60_SRO</vt:lpstr>
      <vt:lpstr>PRES_60_STU</vt:lpstr>
      <vt:lpstr>PRES_61_1BR</vt:lpstr>
      <vt:lpstr>PRES_61_2BR</vt:lpstr>
      <vt:lpstr>PRES_61_3BR</vt:lpstr>
      <vt:lpstr>PRES_61_4BR</vt:lpstr>
      <vt:lpstr>PRES_61_SRO</vt:lpstr>
      <vt:lpstr>PRES_61_STU</vt:lpstr>
      <vt:lpstr>ScatteredSite</vt:lpstr>
      <vt:lpstr>Site_A_Census</vt:lpstr>
      <vt:lpstr>Site_A_Congress</vt:lpstr>
      <vt:lpstr>Site_A_House</vt:lpstr>
      <vt:lpstr>Site_A_Senate</vt:lpstr>
      <vt:lpstr>SiteA_Address__be_specific</vt:lpstr>
      <vt:lpstr>SiteA_City_or_Township</vt:lpstr>
      <vt:lpstr>SiteA_County</vt:lpstr>
      <vt:lpstr>SiteA_Zip_Code__First_5_Digits</vt:lpstr>
      <vt:lpstr>SiteB_Address</vt:lpstr>
      <vt:lpstr>SiteB_City</vt:lpstr>
      <vt:lpstr>SiteB_County</vt:lpstr>
      <vt:lpstr>SiteB_Zip</vt:lpstr>
      <vt:lpstr>SiteC_Address</vt:lpstr>
      <vt:lpstr>SiteC_City</vt:lpstr>
      <vt:lpstr>SiteC_County</vt:lpstr>
      <vt:lpstr>SiteC_Zip</vt:lpstr>
      <vt:lpstr>SiteCount</vt:lpstr>
      <vt:lpstr>SiteD_Address</vt:lpstr>
      <vt:lpstr>SiteD_City</vt:lpstr>
      <vt:lpstr>SiteD_County</vt:lpstr>
      <vt:lpstr>SiteD_Zip</vt:lpstr>
      <vt:lpstr>SiteE_Address</vt:lpstr>
      <vt:lpstr>SiteE_City</vt:lpstr>
      <vt:lpstr>SiteE_County</vt:lpstr>
      <vt:lpstr>SiteE_Zip</vt:lpstr>
      <vt:lpstr>SiteF_Address</vt:lpstr>
      <vt:lpstr>SiteF_City</vt:lpstr>
      <vt:lpstr>SiteF_County</vt:lpstr>
      <vt:lpstr>SiteF_Zip</vt:lpstr>
      <vt:lpstr>TCA_Number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Pre-Application for HOME NOFA 2021-5</dc:title>
  <dc:creator>John E. Wright</dc:creator>
  <cp:lastModifiedBy>Mitchell Hannoosh</cp:lastModifiedBy>
  <dcterms:created xsi:type="dcterms:W3CDTF">2019-12-04T17:13:06Z</dcterms:created>
  <dcterms:modified xsi:type="dcterms:W3CDTF">2021-02-23T01:52:07Z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Development</vt:lpwstr>
  </property>
  <property fmtid="{D5CDD505-2E9C-101B-9397-08002B2CF9AE}" pid="3" name="ContentTypeId">
    <vt:lpwstr>0x010100F53CE7C5E4A3334C87EE0D434D98CB58</vt:lpwstr>
  </property>
  <property fmtid="{D5CDD505-2E9C-101B-9397-08002B2CF9AE}" pid="4" name="SmartDoxTemplateName">
    <vt:lpwstr/>
  </property>
  <property fmtid="{D5CDD505-2E9C-101B-9397-08002B2CF9AE}" pid="5" name="BeforeGetVBAMethod">
    <vt:lpwstr/>
  </property>
  <property fmtid="{D5CDD505-2E9C-101B-9397-08002B2CF9AE}" pid="6" name="AfterGetVBAMethod">
    <vt:lpwstr/>
  </property>
  <property fmtid="{D5CDD505-2E9C-101B-9397-08002B2CF9AE}" pid="7" name="BeforeSendVBAMethod">
    <vt:lpwstr/>
  </property>
  <property fmtid="{D5CDD505-2E9C-101B-9397-08002B2CF9AE}" pid="8" name="AfterSendVBAMethod">
    <vt:lpwstr/>
  </property>
  <property fmtid="{D5CDD505-2E9C-101B-9397-08002B2CF9AE}" pid="9" name="SD_RESERVED_IsProtected">
    <vt:lpwstr>False</vt:lpwstr>
  </property>
  <property fmtid="{D5CDD505-2E9C-101B-9397-08002B2CF9AE}" pid="10" name="SD_RESERVED_Protection0«bZDbaoNAEIZfZVgoGIpoRC2CCpJ4AhuX7jaW3i0yDbZmFV0DeftGSmOh3gwz/zfM4fcpAxqQa/rocPPtmpSv9cFqBEU3e4+aaffkHYt9jCe33FqNtJOiCwjkFY0DooYJ55wtRRQFxLEJVJT9ShWtAvIh2hFJ6FeM0zmGuRxvuFZNJ0ffuAmzSIfuE2sFuewndVf3eMG2688oFXAU5zs4lEkElmltdQu0Ik/4ZgX">
    <vt:lpwstr>SD_RESERVED_Protection1«ZoHkPUOQZ361hB7SsfI7/I1N3QaMDjjhcxHwmpKJfa/NAO6Ia9TSL6NqGeQzLNn+fbBv5tbwnlAAdXvC0eGH8+GRQFn4D§</vt:lpwstr>
  </property>
  <property fmtid="{D5CDD505-2E9C-101B-9397-08002B2CF9AE}" pid="11" name="SmartDox GUID">
    <vt:lpwstr>27208e40-fccf-4c09-ae05-e7304097d34f</vt:lpwstr>
  </property>
</Properties>
</file>