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becky_isom_hcs_oregon_gov/Documents/MIRL/"/>
    </mc:Choice>
  </mc:AlternateContent>
  <xr:revisionPtr revIDLastSave="282" documentId="14_{22BCBE96-7A37-495E-9388-96771DB9FB2C}" xr6:coauthVersionLast="47" xr6:coauthVersionMax="47" xr10:uidLastSave="{785C9007-6053-4545-9717-20617DD85BB0}"/>
  <workbookProtection workbookAlgorithmName="SHA-512" workbookHashValue="caIEOgxi40Ica0zJe9VYoByAEQpDyr1brxoVQvBLlSVbh08hjs/v0734vqynqJwDKx9hcRqwRZEf2hU85ss41g==" workbookSaltValue="Wf0wskDtX+Irp/dh5DwuvA==" workbookSpinCount="100000" lockStructure="1"/>
  <bookViews>
    <workbookView xWindow="-57720" yWindow="12420" windowWidth="29040" windowHeight="15840" xr2:uid="{068D199D-2BE6-40C4-BD43-A9ACBBEE81F5}"/>
  </bookViews>
  <sheets>
    <sheet name="MIRL Review Request" sheetId="1" r:id="rId1"/>
    <sheet name="SD_Dropdowns" sheetId="5" state="veryHidden" r:id="rId2"/>
    <sheet name="Data Sources" sheetId="4" state="hidden" r:id="rId3"/>
    <sheet name="ProlinkHFA" sheetId="2" state="hidden" r:id="rId4"/>
    <sheet name="Amortization Schedule" sheetId="3" r:id="rId5"/>
  </sheets>
  <definedNames>
    <definedName name="SD_161x1_17_S_0" localSheetId="0" hidden="1">'MIRL Review Request'!$C$44</definedName>
    <definedName name="SD_161x1_19_S_0" localSheetId="0" hidden="1">'MIRL Review Request'!$C$45</definedName>
    <definedName name="SD_161x1_21_S_0" localSheetId="0" hidden="1">'MIRL Review Request'!$C$47</definedName>
    <definedName name="SD_161x1_25_S_0" localSheetId="0" hidden="1">'MIRL Review Request'!$C$10</definedName>
    <definedName name="SD_161x1_26_S_0" localSheetId="0" hidden="1">'MIRL Review Request'!$G$46</definedName>
    <definedName name="SD_161x1_71_S_0" localSheetId="0" hidden="1">'MIRL Review Request'!$C$8</definedName>
    <definedName name="SD_161x1_81_S_1" localSheetId="0" hidden="1">'MIRL Review Request'!$G$6</definedName>
    <definedName name="SD_2357x1_38_S_1" localSheetId="3" hidden="1">ProlinkHFA!$F$17</definedName>
    <definedName name="SD_2357x1_6_S_0" localSheetId="3" hidden="1">ProlinkHFA!$F$18</definedName>
    <definedName name="SD_25_S_0" localSheetId="0" hidden="1">'MIRL Review Request'!$K$44</definedName>
    <definedName name="SD_5118x1_11_S_0" localSheetId="0" hidden="1">'MIRL Review Request'!$C$31</definedName>
    <definedName name="SD_5118x1_17_S_0" localSheetId="0" hidden="1">'MIRL Review Request'!$C$84</definedName>
    <definedName name="SD_5118x1_18_S_0" localSheetId="0" hidden="1">'MIRL Review Request'!$C$85</definedName>
    <definedName name="SD_76_S_0" localSheetId="4" hidden="1">'Amortization Schedule'!$F$8</definedName>
    <definedName name="SD_8055x1_10_S_0" localSheetId="3" hidden="1">ProlinkHFA!$F$29</definedName>
    <definedName name="SD_8055x1_11_S_0" localSheetId="3" hidden="1">ProlinkHFA!$F$33</definedName>
    <definedName name="SD_8055x1_12_S_1" localSheetId="3" hidden="1">ProlinkHFA!$F$28</definedName>
    <definedName name="SD_8055x1_13_S_1" localSheetId="3" hidden="1">ProlinkHFA!$F$24</definedName>
    <definedName name="SD_8055x1_14_S_0" localSheetId="3" hidden="1">ProlinkHFA!$F$31</definedName>
    <definedName name="SD_8055x1_15_S_0" localSheetId="3" hidden="1">ProlinkHFA!$F$25</definedName>
    <definedName name="SD_8055x1_19_S_0" localSheetId="3" hidden="1">ProlinkHFA!$F$32</definedName>
    <definedName name="SD_8055x1_21_S_0" localSheetId="3" hidden="1">ProlinkHFA!$F$27</definedName>
    <definedName name="SD_8055x1_23_S_0" localSheetId="3" hidden="1">ProlinkHFA!$F$26</definedName>
    <definedName name="SD_8055x1_24_S_1" localSheetId="3" hidden="1">ProlinkHFA!$F$30</definedName>
    <definedName name="SD_8055x2_10_S_0" localSheetId="3" hidden="1">ProlinkHFA!$F$40</definedName>
    <definedName name="SD_8055x2_11_S_0" localSheetId="3" hidden="1">ProlinkHFA!$F$44</definedName>
    <definedName name="SD_8055x2_12_S_1" localSheetId="3" hidden="1">ProlinkHFA!$F$39</definedName>
    <definedName name="SD_8055x2_13_S_1" localSheetId="3" hidden="1">ProlinkHFA!$F$35</definedName>
    <definedName name="SD_8055x2_14_S_0" localSheetId="3" hidden="1">ProlinkHFA!$F$42</definedName>
    <definedName name="SD_8055x2_15_S_0" localSheetId="3" hidden="1">ProlinkHFA!$F$36</definedName>
    <definedName name="SD_8055x2_19_S_0" localSheetId="3" hidden="1">ProlinkHFA!$F$43</definedName>
    <definedName name="SD_8055x2_21_S_0" localSheetId="3" hidden="1">ProlinkHFA!$F$38</definedName>
    <definedName name="SD_8055x2_23_S_0" localSheetId="3" hidden="1">ProlinkHFA!$F$37</definedName>
    <definedName name="SD_8055x2_24_S_1" localSheetId="3" hidden="1">ProlinkHFA!$F$41</definedName>
    <definedName name="SD_8055x3_10_S_0" localSheetId="3" hidden="1">ProlinkHFA!$F$51</definedName>
    <definedName name="SD_8055x3_11_S_0" localSheetId="3" hidden="1">ProlinkHFA!$F$55</definedName>
    <definedName name="SD_8055x3_12_S_1" localSheetId="3" hidden="1">ProlinkHFA!$F$50</definedName>
    <definedName name="SD_8055x3_13_S_1" localSheetId="3" hidden="1">ProlinkHFA!$F$46</definedName>
    <definedName name="SD_8055x3_14_S_0" localSheetId="3" hidden="1">ProlinkHFA!$F$53</definedName>
    <definedName name="SD_8055x3_15_S_0" localSheetId="3" hidden="1">ProlinkHFA!$F$47</definedName>
    <definedName name="SD_8055x3_19_S_0" localSheetId="3" hidden="1">ProlinkHFA!$F$54</definedName>
    <definedName name="SD_8055x3_21_S_0" localSheetId="3" hidden="1">ProlinkHFA!$F$49</definedName>
    <definedName name="SD_8055x3_23_S_0" localSheetId="3" hidden="1">ProlinkHFA!$F$48</definedName>
    <definedName name="SD_8055x3_24_S_1" localSheetId="3" hidden="1">ProlinkHFA!$F$52</definedName>
    <definedName name="SD_8055x4_10_S_0" localSheetId="3" hidden="1">ProlinkHFA!$F$62</definedName>
    <definedName name="SD_8055x4_11_S_0" localSheetId="3" hidden="1">ProlinkHFA!$F$66</definedName>
    <definedName name="SD_8055x4_12_S_1" localSheetId="3" hidden="1">ProlinkHFA!$F$61</definedName>
    <definedName name="SD_8055x4_13_S_1" localSheetId="3" hidden="1">ProlinkHFA!$F$57</definedName>
    <definedName name="SD_8055x4_14_S_0" localSheetId="3" hidden="1">ProlinkHFA!$F$64</definedName>
    <definedName name="SD_8055x4_15_S_0" localSheetId="3" hidden="1">ProlinkHFA!$F$58</definedName>
    <definedName name="SD_8055x4_19_S_0" localSheetId="3" hidden="1">ProlinkHFA!$F$65</definedName>
    <definedName name="SD_8055x4_21_S_0" localSheetId="3" hidden="1">ProlinkHFA!$F$60</definedName>
    <definedName name="SD_8055x4_23_S_0" localSheetId="3" hidden="1">ProlinkHFA!$F$59</definedName>
    <definedName name="SD_8055x4_24_S_1" localSheetId="3" hidden="1">ProlinkHFA!$F$63</definedName>
    <definedName name="SD_8055x5_10_S_0" localSheetId="3" hidden="1">ProlinkHFA!$F$73</definedName>
    <definedName name="SD_8055x5_11_S_0" localSheetId="3" hidden="1">ProlinkHFA!$F$77</definedName>
    <definedName name="SD_8055x5_12_S_1" localSheetId="3" hidden="1">ProlinkHFA!$F$72</definedName>
    <definedName name="SD_8055x5_13_S_1" localSheetId="3" hidden="1">ProlinkHFA!$F$68</definedName>
    <definedName name="SD_8055x5_14_S_0" localSheetId="3" hidden="1">ProlinkHFA!$F$75</definedName>
    <definedName name="SD_8055x5_15_S_0" localSheetId="3" hidden="1">ProlinkHFA!$F$69</definedName>
    <definedName name="SD_8055x5_19_S_0" localSheetId="3" hidden="1">ProlinkHFA!$F$76</definedName>
    <definedName name="SD_8055x5_21_S_0" localSheetId="3" hidden="1">ProlinkHFA!$F$71</definedName>
    <definedName name="SD_8055x5_23_S_0" localSheetId="3" hidden="1">ProlinkHFA!$F$70</definedName>
    <definedName name="SD_8055x5_24_S_1" localSheetId="3" hidden="1">ProlinkHFA!$F$74</definedName>
    <definedName name="SD_8485x1_112_S_0" localSheetId="3" hidden="1">ProlinkHFA!$F$3</definedName>
    <definedName name="SD_8485x1_49_S_0" localSheetId="3" hidden="1">ProlinkHFA!$F$9</definedName>
    <definedName name="SD_8485x1_50_S_1" localSheetId="3" hidden="1">ProlinkHFA!$F$8</definedName>
    <definedName name="SD_8485x1_53_S_0" localSheetId="0" hidden="1">'MIRL Review Request'!$G$14</definedName>
    <definedName name="SD_8485x1_54_S_1" localSheetId="3" hidden="1">ProlinkHFA!$F$7</definedName>
    <definedName name="SD_8485x1_56_S_1" localSheetId="3" hidden="1">ProlinkHFA!$F$6</definedName>
    <definedName name="SD_8485x1_61_S_0" localSheetId="3" hidden="1">ProlinkHFA!$F$5</definedName>
    <definedName name="SD_8485x1_66_S_1" localSheetId="3" hidden="1">ProlinkHFA!$F$4</definedName>
    <definedName name="SD_8485x1_71_S_1" localSheetId="3" hidden="1">ProlinkHFA!$F$10</definedName>
    <definedName name="SD_8485x1_73_S_0" localSheetId="3" hidden="1">ProlinkHFA!$F$11</definedName>
    <definedName name="SD_8485x1_8692x1_923_S_0" localSheetId="4" hidden="1">'Amortization Schedule'!$B$8</definedName>
    <definedName name="SD_8485x1_8692x1_924_S_0" localSheetId="4" hidden="1">'Amortization Schedule'!$B$28</definedName>
    <definedName name="SD_8485x1_8692x1_925_S_0" localSheetId="4" hidden="1">'Amortization Schedule'!$D$28</definedName>
    <definedName name="SD_8485x1_8692x1_926_S_0" localSheetId="4" hidden="1">'Amortization Schedule'!$H$8</definedName>
    <definedName name="SD_8485x1_8692x1_927_S_0" localSheetId="4" hidden="1">'Amortization Schedule'!$B$30</definedName>
    <definedName name="SD_8485x1_8692x1_928_S_0" localSheetId="4" hidden="1">'Amortization Schedule'!$F$28</definedName>
    <definedName name="SD_8485x1_8692x1_929_S_0" localSheetId="4" hidden="1">'Amortization Schedule'!$D$30</definedName>
    <definedName name="SD_8485x1_87_S_0" localSheetId="3" hidden="1">ProlinkHFA!$F$2</definedName>
    <definedName name="SD_D_DEVFundingSource" hidden="1">SD_Dropdowns!$E$2:$F$41</definedName>
    <definedName name="SD_D_DEVFundingSource_Name" hidden="1">SD_Dropdowns!$E$2:$E$41</definedName>
    <definedName name="SD_D_DEVFundingSource_Value" hidden="1">SD_Dropdowns!$F$2:$F$41</definedName>
    <definedName name="SD_D_PL_DealEntityRole" hidden="1">SD_Dropdowns!$U$2:$V$55</definedName>
    <definedName name="SD_D_PL_DealEntityRole_Name" hidden="1">SD_Dropdowns!$U$2:$U$55</definedName>
    <definedName name="SD_D_PL_DealEntityRole_Value" hidden="1">SD_Dropdowns!$V$2:$V$55</definedName>
    <definedName name="SD_D_PL_EntityCompanyOrIndividual" hidden="1">SD_Dropdowns!$Q$2:$R$4</definedName>
    <definedName name="SD_D_PL_EntityCompanyOrIndividual_Name" hidden="1">SD_Dropdowns!$Q$2:$Q$4</definedName>
    <definedName name="SD_D_PL_EntityCompanyOrIndividual_Value" hidden="1">SD_Dropdowns!$R$2:$R$4</definedName>
    <definedName name="SD_D_PL_Jurisdiction" hidden="1">SD_Dropdowns!$C$2:$D$38</definedName>
    <definedName name="SD_D_PL_Jurisdiction_Name" hidden="1">SD_Dropdowns!$C$2:$C$38</definedName>
    <definedName name="SD_D_PL_Jurisdiction_Value" hidden="1">SD_Dropdowns!$D$2:$D$38</definedName>
    <definedName name="SD_D_PL_LoanProduct" hidden="1">SD_Dropdowns!$I$2:$J$7</definedName>
    <definedName name="SD_D_PL_LoanProduct_Name" hidden="1">SD_Dropdowns!$I$2:$I$7</definedName>
    <definedName name="SD_D_PL_LoanProduct_Value" hidden="1">SD_Dropdowns!$J$2:$J$7</definedName>
    <definedName name="SD_D_PL_LoanProgramType" hidden="1">SD_Dropdowns!$O$2:$P$9</definedName>
    <definedName name="SD_D_PL_LoanProgramType_Name" hidden="1">SD_Dropdowns!$O$2:$O$9</definedName>
    <definedName name="SD_D_PL_LoanProgramType_Value" hidden="1">SD_Dropdowns!$P$2:$P$9</definedName>
    <definedName name="SD_D_PL_LoanPurpose" hidden="1">SD_Dropdowns!$M$2:$N$19</definedName>
    <definedName name="SD_D_PL_LoanPurpose_Name" hidden="1">SD_Dropdowns!$M$2:$M$19</definedName>
    <definedName name="SD_D_PL_LoanPurpose_Value" hidden="1">SD_Dropdowns!$N$2:$N$19</definedName>
    <definedName name="SD_D_PL_LoanStatus" hidden="1">SD_Dropdowns!$G$2:$H$12</definedName>
    <definedName name="SD_D_PL_LoanStatus_Name" hidden="1">SD_Dropdowns!$G$2:$G$12</definedName>
    <definedName name="SD_D_PL_LoanStatus_Value" hidden="1">SD_Dropdowns!$H$2:$H$12</definedName>
    <definedName name="SD_D_PL_LoanStructure" hidden="1">SD_Dropdowns!$K$2:$L$5</definedName>
    <definedName name="SD_D_PL_LoanStructure_Name" hidden="1">SD_Dropdowns!$K$2:$K$5</definedName>
    <definedName name="SD_D_PL_LoanStructure_Value" hidden="1">SD_Dropdowns!$L$2:$L$5</definedName>
    <definedName name="SD_D_PL_State" hidden="1">SD_Dropdowns!$S$2:$T$53</definedName>
    <definedName name="SD_D_PL_State_Name" hidden="1">SD_Dropdowns!$S$2:$S$53</definedName>
    <definedName name="SD_D_PL_State_Value" hidden="1">SD_Dropdowns!$T$2:$T$53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1" l="1"/>
  <c r="B89" i="1"/>
  <c r="H5" i="3"/>
  <c r="A24" i="3" s="1"/>
  <c r="K24" i="3" s="1"/>
  <c r="K12" i="3"/>
  <c r="K13" i="3"/>
  <c r="K14" i="3"/>
  <c r="K15" i="3"/>
  <c r="K16" i="3"/>
  <c r="K17" i="3"/>
  <c r="K18" i="3"/>
  <c r="K19" i="3"/>
  <c r="K20" i="3"/>
  <c r="K11" i="3"/>
  <c r="K12" i="1"/>
  <c r="A25" i="3" l="1"/>
  <c r="K25" i="3" s="1"/>
  <c r="A21" i="3"/>
  <c r="K21" i="3" s="1"/>
  <c r="A23" i="3"/>
  <c r="K23" i="3" s="1"/>
  <c r="A22" i="3"/>
  <c r="K22" i="3" s="1"/>
  <c r="D8" i="3"/>
  <c r="B20" i="1" l="1"/>
  <c r="F77" i="2"/>
  <c r="F76" i="2"/>
  <c r="F75" i="2"/>
  <c r="F74" i="2"/>
  <c r="F70" i="2"/>
  <c r="F71" i="2"/>
  <c r="F72" i="2"/>
  <c r="F73" i="2"/>
  <c r="F69" i="2"/>
  <c r="F68" i="2"/>
  <c r="F66" i="2"/>
  <c r="F65" i="2"/>
  <c r="F64" i="2"/>
  <c r="F57" i="2"/>
  <c r="F63" i="2"/>
  <c r="F59" i="2"/>
  <c r="F60" i="2"/>
  <c r="F61" i="2"/>
  <c r="F62" i="2"/>
  <c r="F58" i="2"/>
  <c r="F55" i="2"/>
  <c r="F54" i="2"/>
  <c r="F53" i="2"/>
  <c r="F52" i="2"/>
  <c r="F48" i="2"/>
  <c r="F49" i="2"/>
  <c r="F50" i="2"/>
  <c r="F51" i="2"/>
  <c r="F47" i="2"/>
  <c r="F46" i="2"/>
  <c r="F44" i="2"/>
  <c r="F43" i="2"/>
  <c r="F42" i="2"/>
  <c r="F41" i="2"/>
  <c r="F38" i="2"/>
  <c r="F39" i="2"/>
  <c r="F40" i="2"/>
  <c r="F37" i="2"/>
  <c r="F36" i="2"/>
  <c r="F35" i="2"/>
  <c r="F24" i="2"/>
  <c r="F33" i="2"/>
  <c r="F32" i="2"/>
  <c r="F31" i="2"/>
  <c r="F30" i="2"/>
  <c r="F25" i="2"/>
  <c r="F27" i="2"/>
  <c r="F28" i="2"/>
  <c r="F29" i="2"/>
  <c r="F26" i="2"/>
  <c r="F9" i="2" l="1"/>
  <c r="F2" i="2"/>
  <c r="F5" i="2" s="1"/>
  <c r="C46" i="1"/>
  <c r="B5" i="3"/>
  <c r="D5" i="3" s="1"/>
  <c r="C15" i="1" s="1"/>
  <c r="F28" i="3"/>
  <c r="G11" i="3"/>
  <c r="C24" i="3" l="1"/>
  <c r="C23" i="3"/>
  <c r="C22" i="3"/>
  <c r="E24" i="3"/>
  <c r="E22" i="3"/>
  <c r="E21" i="3"/>
  <c r="F25" i="3"/>
  <c r="F24" i="3"/>
  <c r="C25" i="3"/>
  <c r="F23" i="3"/>
  <c r="C21" i="3"/>
  <c r="E25" i="3"/>
  <c r="E23" i="3"/>
  <c r="G12" i="3"/>
  <c r="D30" i="3"/>
  <c r="C18" i="3"/>
  <c r="F5" i="3"/>
  <c r="C16" i="1" s="1"/>
  <c r="C12" i="3"/>
  <c r="C16" i="3"/>
  <c r="C17" i="3"/>
  <c r="C15" i="3"/>
  <c r="C11" i="3"/>
  <c r="E19" i="3"/>
  <c r="C13" i="3"/>
  <c r="C19" i="3"/>
  <c r="C20" i="3"/>
  <c r="C14" i="3"/>
  <c r="E12" i="3"/>
  <c r="E15" i="3"/>
  <c r="E18" i="3"/>
  <c r="E11" i="3"/>
  <c r="E14" i="3"/>
  <c r="E17" i="3"/>
  <c r="E20" i="3"/>
  <c r="E13" i="3"/>
  <c r="E16" i="3"/>
  <c r="F21" i="3" l="1"/>
  <c r="F22" i="3"/>
  <c r="F15" i="3"/>
  <c r="F11" i="3"/>
  <c r="F14" i="3"/>
  <c r="F16" i="3"/>
  <c r="F13" i="3"/>
  <c r="F17" i="3"/>
  <c r="F20" i="3"/>
  <c r="F19" i="3"/>
  <c r="B11" i="3"/>
  <c r="F18" i="3"/>
  <c r="F12" i="3"/>
  <c r="G13" i="3"/>
  <c r="H11" i="3" l="1"/>
  <c r="I11" i="3" s="1"/>
  <c r="J11" i="3" s="1"/>
  <c r="G14" i="3"/>
  <c r="B12" i="3" l="1"/>
  <c r="D12" i="3"/>
  <c r="G15" i="3"/>
  <c r="G14" i="1"/>
  <c r="F18" i="2" s="1"/>
  <c r="K55" i="1"/>
  <c r="K56" i="1"/>
  <c r="K57" i="1"/>
  <c r="K58" i="1"/>
  <c r="K59" i="1"/>
  <c r="K60" i="1"/>
  <c r="K61" i="1"/>
  <c r="K54" i="1"/>
  <c r="J55" i="1"/>
  <c r="J56" i="1"/>
  <c r="J57" i="1"/>
  <c r="J58" i="1"/>
  <c r="J59" i="1"/>
  <c r="J60" i="1"/>
  <c r="J61" i="1"/>
  <c r="J54" i="1"/>
  <c r="G62" i="1"/>
  <c r="F62" i="1"/>
  <c r="G46" i="1" s="1"/>
  <c r="C62" i="1"/>
  <c r="H12" i="3" l="1"/>
  <c r="I12" i="3" s="1"/>
  <c r="J12" i="3" s="1"/>
  <c r="G16" i="3"/>
  <c r="K62" i="1"/>
  <c r="J62" i="1"/>
  <c r="B13" i="3" l="1"/>
  <c r="D13" i="3"/>
  <c r="G17" i="3"/>
  <c r="H13" i="3" l="1"/>
  <c r="I13" i="3" s="1"/>
  <c r="J13" i="3" s="1"/>
  <c r="B14" i="3" s="1"/>
  <c r="G18" i="3"/>
  <c r="D14" i="3" l="1"/>
  <c r="H14" i="3" s="1"/>
  <c r="I14" i="3" s="1"/>
  <c r="J14" i="3" s="1"/>
  <c r="G19" i="3"/>
  <c r="B15" i="3" l="1"/>
  <c r="D15" i="3"/>
  <c r="G20" i="3"/>
  <c r="G21" i="3" s="1"/>
  <c r="G22" i="3" s="1"/>
  <c r="G23" i="3" s="1"/>
  <c r="G24" i="3" s="1"/>
  <c r="G25" i="3" s="1"/>
  <c r="H15" i="3" l="1"/>
  <c r="I15" i="3" s="1"/>
  <c r="J15" i="3" s="1"/>
  <c r="B16" i="3" l="1"/>
  <c r="D16" i="3"/>
  <c r="H16" i="3" l="1"/>
  <c r="I16" i="3" s="1"/>
  <c r="J16" i="3" s="1"/>
  <c r="B17" i="3" s="1"/>
  <c r="D17" i="3" l="1"/>
  <c r="H17" i="3" s="1"/>
  <c r="I17" i="3" s="1"/>
  <c r="J17" i="3" s="1"/>
  <c r="B18" i="3" l="1"/>
  <c r="D18" i="3"/>
  <c r="H18" i="3" l="1"/>
  <c r="I18" i="3" s="1"/>
  <c r="J18" i="3" s="1"/>
  <c r="B19" i="3" s="1"/>
  <c r="D19" i="3" l="1"/>
  <c r="H19" i="3" s="1"/>
  <c r="I19" i="3" s="1"/>
  <c r="J19" i="3" s="1"/>
  <c r="B20" i="3" l="1"/>
  <c r="D20" i="3"/>
  <c r="H20" i="3" l="1"/>
  <c r="I20" i="3" s="1"/>
  <c r="J20" i="3" s="1"/>
  <c r="B21" i="3" s="1"/>
  <c r="D21" i="3" l="1"/>
  <c r="H21" i="3" s="1"/>
  <c r="I21" i="3" s="1"/>
  <c r="J21" i="3" s="1"/>
  <c r="B22" i="3" s="1"/>
  <c r="D22" i="3" l="1"/>
  <c r="H22" i="3" s="1"/>
  <c r="I22" i="3" s="1"/>
  <c r="J22" i="3" s="1"/>
  <c r="B23" i="3" s="1"/>
  <c r="D23" i="3" l="1"/>
  <c r="H23" i="3" s="1"/>
  <c r="I23" i="3" s="1"/>
  <c r="J23" i="3" s="1"/>
  <c r="B24" i="3" s="1"/>
  <c r="D24" i="3" s="1"/>
  <c r="H24" i="3" s="1"/>
  <c r="I24" i="3" s="1"/>
  <c r="J24" i="3" s="1"/>
  <c r="B25" i="3" s="1"/>
  <c r="D25" i="3" s="1"/>
  <c r="H25" i="3" s="1"/>
  <c r="I25" i="3" s="1"/>
  <c r="J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G6" authorId="0" shapeId="0" xr:uid="{F035071F-1DF0-4765-BAE2-E1CDCF91A60A}">
      <text>
        <r>
          <rPr>
            <b/>
            <sz val="9"/>
            <color indexed="81"/>
            <rFont val="Tahoma"/>
            <family val="2"/>
          </rPr>
          <t>&lt;[[DEVDeals] - [Deal Property (Seq: 1)] Jurisdiction - Send]&gt;</t>
        </r>
      </text>
    </comment>
    <comment ref="C8" authorId="0" shapeId="0" xr:uid="{DE315F54-5F05-4423-97D8-967F53C42A13}">
      <text>
        <r>
          <rPr>
            <b/>
            <sz val="9"/>
            <color indexed="81"/>
            <rFont val="Tahoma"/>
            <family val="2"/>
          </rPr>
          <t>&lt;[[DEVDeals] - [Deal Property (Seq: 1)] Contact Person - Send]&gt;</t>
        </r>
      </text>
    </comment>
    <comment ref="C10" authorId="0" shapeId="0" xr:uid="{A38045E1-F1D7-4722-8973-2EFDFB22FED8}">
      <text>
        <r>
          <rPr>
            <b/>
            <sz val="9"/>
            <color indexed="81"/>
            <rFont val="Tahoma"/>
            <family val="2"/>
          </rPr>
          <t>&lt;[[DEVDeals] - [Deal Property (Seq: 1)] Phone Number - Send]&gt;</t>
        </r>
      </text>
    </comment>
    <comment ref="K12" authorId="0" shapeId="0" xr:uid="{CB858CA5-2F7E-4E5D-B003-A7261388E01F}">
      <text>
        <r>
          <rPr>
            <b/>
            <sz val="9"/>
            <color indexed="81"/>
            <rFont val="Tahoma"/>
            <family val="2"/>
          </rPr>
          <t>Based on USDA Rural Counties</t>
        </r>
      </text>
    </comment>
    <comment ref="G14" authorId="0" shapeId="0" xr:uid="{6DD860B3-AC5C-4EA5-BD6F-5CCE51E4E04D}">
      <text>
        <r>
          <rPr>
            <b/>
            <sz val="9"/>
            <color indexed="81"/>
            <rFont val="Tahoma"/>
            <family val="2"/>
          </rPr>
          <t>&lt;[[DEVDeals] - [Loans (Seq: 1)] Loan Amount - Send]&gt;</t>
        </r>
      </text>
    </comment>
    <comment ref="C31" authorId="0" shapeId="0" xr:uid="{91C64186-B7BE-47C1-A5F2-9CA0B2393F3A}">
      <text>
        <r>
          <rPr>
            <b/>
            <sz val="9"/>
            <color indexed="81"/>
            <rFont val="Tahoma"/>
            <family val="2"/>
          </rPr>
          <t>&lt;[[DEVDeals] - [DEV Construction Control (Seq: 1)] General Contractor - Send]&gt;</t>
        </r>
      </text>
    </comment>
    <comment ref="C44" authorId="0" shapeId="0" xr:uid="{DB91E67C-AD17-4562-8323-FEF725F19AE0}">
      <text>
        <r>
          <rPr>
            <b/>
            <sz val="9"/>
            <color indexed="81"/>
            <rFont val="Tahoma"/>
            <family val="2"/>
          </rPr>
          <t>&lt;[[DEVDeals] - [Deal Property (Seq: 1)] Address1 - Send]&gt;</t>
        </r>
      </text>
    </comment>
    <comment ref="K44" authorId="0" shapeId="0" xr:uid="{13C9CD5C-3295-41A0-9987-C280D3708430}">
      <text>
        <r>
          <rPr>
            <b/>
            <sz val="9"/>
            <color indexed="81"/>
            <rFont val="Tahoma"/>
            <family val="2"/>
          </rPr>
          <t>&lt;[[DEVDeals] Total Development Costs - Send]&gt;</t>
        </r>
      </text>
    </comment>
    <comment ref="C45" authorId="0" shapeId="0" xr:uid="{CA776DAE-746F-4227-897B-B013804E9783}">
      <text>
        <r>
          <rPr>
            <b/>
            <sz val="9"/>
            <color indexed="81"/>
            <rFont val="Tahoma"/>
            <family val="2"/>
          </rPr>
          <t>&lt;[[DEVDeals] - [Deal Property (Seq: 1)] City - Send]&gt;</t>
        </r>
      </text>
    </comment>
    <comment ref="G46" authorId="0" shapeId="0" xr:uid="{730CE6B1-B42A-4117-B57A-4DE592FDFD33}">
      <text>
        <r>
          <rPr>
            <b/>
            <sz val="9"/>
            <color indexed="81"/>
            <rFont val="Tahoma"/>
            <family val="2"/>
          </rPr>
          <t>&lt;[[DEVDeals] - [Deal Property (Seq: 1)] Total Units - Send]&gt;</t>
        </r>
      </text>
    </comment>
    <comment ref="C47" authorId="0" shapeId="0" xr:uid="{261E4CAE-6C2C-47EC-984F-12A16537A213}">
      <text>
        <r>
          <rPr>
            <b/>
            <sz val="9"/>
            <color indexed="81"/>
            <rFont val="Tahoma"/>
            <family val="2"/>
          </rPr>
          <t>&lt;[[DEVDeals] - [Deal Property (Seq: 1)] Zip Code - Send]&gt;</t>
        </r>
      </text>
    </comment>
    <comment ref="C84" authorId="0" shapeId="0" xr:uid="{5AC261B6-D2E3-434A-AA89-4D747FCF44D0}">
      <text>
        <r>
          <rPr>
            <b/>
            <sz val="9"/>
            <color indexed="81"/>
            <rFont val="Tahoma"/>
            <family val="2"/>
          </rPr>
          <t>&lt;[[DEVDeals] - [DEV Construction Control (Seq: 1)] Construction Begin Date - Send]&gt;</t>
        </r>
      </text>
    </comment>
    <comment ref="C85" authorId="0" shapeId="0" xr:uid="{BFF8645C-E975-4B96-A721-D056D5AE259A}">
      <text>
        <r>
          <rPr>
            <b/>
            <sz val="9"/>
            <color indexed="81"/>
            <rFont val="Tahoma"/>
            <family val="2"/>
          </rPr>
          <t>&lt;[[DEVDeals] - [DEV Construction Control (Seq: 1)] Anticipated Completion Date - Send]&gt;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F2" authorId="0" shapeId="0" xr:uid="{6B88BFB3-3EA4-4F68-98C9-46151C6E8296}">
      <text>
        <r>
          <rPr>
            <b/>
            <sz val="9"/>
            <color indexed="81"/>
            <rFont val="Tahoma"/>
            <family val="2"/>
          </rPr>
          <t>&lt;[[DEVDeals] - [Loans (Seq: 1)] Amortization Term - Send]&gt;</t>
        </r>
      </text>
    </comment>
    <comment ref="F3" authorId="0" shapeId="0" xr:uid="{5E37C151-2AF8-4EF5-8122-0D8E537D842B}">
      <text>
        <r>
          <rPr>
            <b/>
            <sz val="9"/>
            <color indexed="81"/>
            <rFont val="Tahoma"/>
            <family val="2"/>
          </rPr>
          <t>&lt;[[DEVDeals] - [Loans (Seq: 1)] Is Agency Lender - Send]&gt;</t>
        </r>
      </text>
    </comment>
    <comment ref="F4" authorId="0" shapeId="0" xr:uid="{6015C17D-6BC2-48BC-9B5F-9579BFC773E1}">
      <text>
        <r>
          <rPr>
            <b/>
            <sz val="9"/>
            <color indexed="81"/>
            <rFont val="Tahoma"/>
            <family val="2"/>
          </rPr>
          <t>&lt;[[DEVDeals] - [Loans (Seq: 1)] Loan Purpose - Send]&gt;</t>
        </r>
      </text>
    </comment>
    <comment ref="F5" authorId="0" shapeId="0" xr:uid="{F8485FD5-AEDA-42CF-9DBE-EFFF17A553D5}">
      <text>
        <r>
          <rPr>
            <b/>
            <sz val="9"/>
            <color indexed="81"/>
            <rFont val="Tahoma"/>
            <family val="2"/>
          </rPr>
          <t>&lt;[[DEVDeals] - [Loans (Seq: 1)] Loan Term - Send]&gt;</t>
        </r>
      </text>
    </comment>
    <comment ref="F6" authorId="0" shapeId="0" xr:uid="{32314E6F-649F-42FC-BB51-F6349F03C5CB}">
      <text>
        <r>
          <rPr>
            <b/>
            <sz val="9"/>
            <color indexed="81"/>
            <rFont val="Tahoma"/>
            <family val="2"/>
          </rPr>
          <t>&lt;[[DEVDeals] - [Loans (Seq: 1)] Loan Structure - Send]&gt;</t>
        </r>
      </text>
    </comment>
    <comment ref="F7" authorId="0" shapeId="0" xr:uid="{CC0C5D50-91F0-48D0-B0BA-0B1A13BB0DA1}">
      <text>
        <r>
          <rPr>
            <b/>
            <sz val="9"/>
            <color indexed="81"/>
            <rFont val="Tahoma"/>
            <family val="2"/>
          </rPr>
          <t>&lt;[[DEVDeals] - [Loans (Seq: 1)] Loan Product - Send]&gt;</t>
        </r>
      </text>
    </comment>
    <comment ref="F8" authorId="0" shapeId="0" xr:uid="{5CDAA360-38A4-41F5-A417-3B397D1B96A8}">
      <text>
        <r>
          <rPr>
            <b/>
            <sz val="9"/>
            <color indexed="81"/>
            <rFont val="Tahoma"/>
            <family val="2"/>
          </rPr>
          <t>&lt;[[DEVDeals] - [Loans (Seq: 1)] Loan Status - Send]&gt;</t>
        </r>
      </text>
    </comment>
    <comment ref="F9" authorId="0" shapeId="0" xr:uid="{283BC060-F635-45BD-8C19-2D4234FBECE0}">
      <text>
        <r>
          <rPr>
            <b/>
            <sz val="9"/>
            <color indexed="81"/>
            <rFont val="Tahoma"/>
            <family val="2"/>
          </rPr>
          <t>&lt;[[DEVDeals] - [Loans (Seq: 1)] Loan Number - Send]&gt;</t>
        </r>
      </text>
    </comment>
    <comment ref="F10" authorId="0" shapeId="0" xr:uid="{3D0CB95A-3BA3-4552-A471-FE42EAE2F13C}">
      <text>
        <r>
          <rPr>
            <b/>
            <sz val="9"/>
            <color indexed="81"/>
            <rFont val="Tahoma"/>
            <family val="2"/>
          </rPr>
          <t>&lt;[[DEVDeals] - [Loans (Seq: 1)] Loan Program Type - Send]&gt;</t>
        </r>
      </text>
    </comment>
    <comment ref="F11" authorId="0" shapeId="0" xr:uid="{6E89FEA8-AADF-4A4E-BA86-080BEBF48C40}">
      <text>
        <r>
          <rPr>
            <b/>
            <sz val="9"/>
            <color indexed="81"/>
            <rFont val="Tahoma"/>
            <family val="2"/>
          </rPr>
          <t>&lt;[[DEVDeals] - [Loans (Seq: 1)] Payment Frequency Name - Send]&gt;</t>
        </r>
      </text>
    </comment>
    <comment ref="F17" authorId="0" shapeId="0" xr:uid="{1B303F7A-9B2E-421A-9E6C-6E9B7B7526FD}">
      <text>
        <r>
          <rPr>
            <b/>
            <sz val="9"/>
            <color indexed="81"/>
            <rFont val="Tahoma"/>
            <family val="2"/>
          </rPr>
          <t>&lt;[[DEVDeals] - [Funding (Seq: 1)] DEV Funding Source - Send]&gt;</t>
        </r>
      </text>
    </comment>
    <comment ref="F18" authorId="0" shapeId="0" xr:uid="{F6562D31-8712-4F00-8394-A357BAC73E41}">
      <text>
        <r>
          <rPr>
            <b/>
            <sz val="9"/>
            <color indexed="81"/>
            <rFont val="Tahoma"/>
            <family val="2"/>
          </rPr>
          <t>&lt;[[DEVDeals] - [Funding (Seq: 1)] Amount - Send]&gt;</t>
        </r>
      </text>
    </comment>
    <comment ref="F24" authorId="0" shapeId="0" xr:uid="{8CCB96E0-BC87-456D-97E5-87FC9D3D7240}">
      <text>
        <r>
          <rPr>
            <b/>
            <sz val="9"/>
            <color indexed="81"/>
            <rFont val="Tahoma"/>
            <family val="2"/>
          </rPr>
          <t>&lt;[[DEVDeals] - [Proxy Entities (Seq: 1)] Company or Individual? - Send]&gt;</t>
        </r>
      </text>
    </comment>
    <comment ref="F25" authorId="0" shapeId="0" xr:uid="{ACB5C0C3-FFCA-4F73-A6B7-7C5884C88EB2}">
      <text>
        <r>
          <rPr>
            <b/>
            <sz val="9"/>
            <color indexed="81"/>
            <rFont val="Tahoma"/>
            <family val="2"/>
          </rPr>
          <t>&lt;[[DEVDeals] - [Proxy Entities (Seq: 1)] Name (Doing Business As) - Send]&gt;</t>
        </r>
      </text>
    </comment>
    <comment ref="F26" authorId="0" shapeId="0" xr:uid="{04E47547-6892-401F-A376-E9C6FFF4BB9B}">
      <text>
        <r>
          <rPr>
            <b/>
            <sz val="9"/>
            <color indexed="81"/>
            <rFont val="Tahoma"/>
            <family val="2"/>
          </rPr>
          <t>&lt;[[DEVDeals] - [Proxy Entities (Seq: 1)] Address 1 - Send]&gt;</t>
        </r>
      </text>
    </comment>
    <comment ref="F27" authorId="0" shapeId="0" xr:uid="{FDC74348-63B0-4ABB-8E8D-6996016112B7}">
      <text>
        <r>
          <rPr>
            <b/>
            <sz val="9"/>
            <color indexed="81"/>
            <rFont val="Tahoma"/>
            <family val="2"/>
          </rPr>
          <t>&lt;[[DEVDeals] - [Proxy Entities (Seq: 1)] City - Send]&gt;</t>
        </r>
      </text>
    </comment>
    <comment ref="F28" authorId="0" shapeId="0" xr:uid="{F54641C9-88CA-4B44-8955-A8B38FB519DF}">
      <text>
        <r>
          <rPr>
            <b/>
            <sz val="9"/>
            <color indexed="81"/>
            <rFont val="Tahoma"/>
            <family val="2"/>
          </rPr>
          <t>&lt;[[DEVDeals] - [Proxy Entities (Seq: 1)] State - Send]&gt;</t>
        </r>
      </text>
    </comment>
    <comment ref="F29" authorId="0" shapeId="0" xr:uid="{D9968D87-B74D-49EF-A312-A3C52F02FFC1}">
      <text>
        <r>
          <rPr>
            <b/>
            <sz val="9"/>
            <color indexed="81"/>
            <rFont val="Tahoma"/>
            <family val="2"/>
          </rPr>
          <t>&lt;[[DEVDeals] - [Proxy Entities (Seq: 1)] Zip Code - Send]&gt;</t>
        </r>
      </text>
    </comment>
    <comment ref="F30" authorId="0" shapeId="0" xr:uid="{8837B25C-D597-4AA0-8747-0B12484D5045}">
      <text>
        <r>
          <rPr>
            <b/>
            <sz val="9"/>
            <color indexed="81"/>
            <rFont val="Tahoma"/>
            <family val="2"/>
          </rPr>
          <t>&lt;[[DEVDeals] - [Proxy Entities (Seq: 1)] Deal Entity Role - Send]&gt;</t>
        </r>
      </text>
    </comment>
    <comment ref="F31" authorId="0" shapeId="0" xr:uid="{87A57C60-3173-462F-9082-706A44116605}">
      <text>
        <r>
          <rPr>
            <b/>
            <sz val="9"/>
            <color indexed="81"/>
            <rFont val="Tahoma"/>
            <family val="2"/>
          </rPr>
          <t>&lt;[[DEVDeals] - [Proxy Entities (Seq: 1)] Direct Phone - Send]&gt;</t>
        </r>
      </text>
    </comment>
    <comment ref="F32" authorId="0" shapeId="0" xr:uid="{3DF0C2CE-6D77-48DB-9871-21447F1E9B03}">
      <text>
        <r>
          <rPr>
            <b/>
            <sz val="9"/>
            <color indexed="81"/>
            <rFont val="Tahoma"/>
            <family val="2"/>
          </rPr>
          <t>&lt;[[DEVDeals] - [Proxy Entities (Seq: 1)] Email Address 1 - Send]&gt;</t>
        </r>
      </text>
    </comment>
    <comment ref="F33" authorId="0" shapeId="0" xr:uid="{241CEB2A-43BD-4F7E-BDC1-987DD97E51CB}">
      <text>
        <r>
          <rPr>
            <b/>
            <sz val="9"/>
            <color indexed="81"/>
            <rFont val="Tahoma"/>
            <family val="2"/>
          </rPr>
          <t>&lt;[[DEVDeals] - [Proxy Entities (Seq: 1)] Tax ID Number - Send]&gt;</t>
        </r>
      </text>
    </comment>
    <comment ref="F35" authorId="0" shapeId="0" xr:uid="{DB7D19A9-C471-4396-B157-533AB46BBFDD}">
      <text>
        <r>
          <rPr>
            <b/>
            <sz val="9"/>
            <color indexed="81"/>
            <rFont val="Tahoma"/>
            <family val="2"/>
          </rPr>
          <t>&lt;[[DEVDeals] - [Proxy Entities (Seq: 2)] Company or Individual? - Send]&gt;</t>
        </r>
      </text>
    </comment>
    <comment ref="F36" authorId="0" shapeId="0" xr:uid="{8B13BA6C-B05E-41AB-9A3E-C3F4AF86F31B}">
      <text>
        <r>
          <rPr>
            <b/>
            <sz val="9"/>
            <color indexed="81"/>
            <rFont val="Tahoma"/>
            <family val="2"/>
          </rPr>
          <t>&lt;[[DEVDeals] - [Proxy Entities (Seq: 2)] Name (Doing Business As) - Send]&gt;</t>
        </r>
      </text>
    </comment>
    <comment ref="F37" authorId="0" shapeId="0" xr:uid="{5772B2DA-4C65-4E6F-A6BD-F553B1EA6AE0}">
      <text>
        <r>
          <rPr>
            <b/>
            <sz val="9"/>
            <color indexed="81"/>
            <rFont val="Tahoma"/>
            <family val="2"/>
          </rPr>
          <t>&lt;[[DEVDeals] - [Proxy Entities (Seq: 2)] Address 1 - Send]&gt;</t>
        </r>
      </text>
    </comment>
    <comment ref="F38" authorId="0" shapeId="0" xr:uid="{EF94DBBA-BF34-4B07-A2AD-F58595FD476E}">
      <text>
        <r>
          <rPr>
            <b/>
            <sz val="9"/>
            <color indexed="81"/>
            <rFont val="Tahoma"/>
            <family val="2"/>
          </rPr>
          <t>&lt;[[DEVDeals] - [Proxy Entities (Seq: 2)] City - Send]&gt;</t>
        </r>
      </text>
    </comment>
    <comment ref="F39" authorId="0" shapeId="0" xr:uid="{B0C688EF-B6F8-4050-B056-4D566B75A8DE}">
      <text>
        <r>
          <rPr>
            <b/>
            <sz val="9"/>
            <color indexed="81"/>
            <rFont val="Tahoma"/>
            <family val="2"/>
          </rPr>
          <t>&lt;[[DEVDeals] - [Proxy Entities (Seq: 2)] State - Send]&gt;</t>
        </r>
      </text>
    </comment>
    <comment ref="F40" authorId="0" shapeId="0" xr:uid="{22BCF00A-A606-4365-A1C3-A25F756AA78A}">
      <text>
        <r>
          <rPr>
            <b/>
            <sz val="9"/>
            <color indexed="81"/>
            <rFont val="Tahoma"/>
            <family val="2"/>
          </rPr>
          <t>&lt;[[DEVDeals] - [Proxy Entities (Seq: 2)] Zip Code - Send]&gt;</t>
        </r>
      </text>
    </comment>
    <comment ref="F41" authorId="0" shapeId="0" xr:uid="{68AF03AA-8A46-4C7D-BB6E-5045BE8CC7FF}">
      <text>
        <r>
          <rPr>
            <b/>
            <sz val="9"/>
            <color indexed="81"/>
            <rFont val="Tahoma"/>
            <family val="2"/>
          </rPr>
          <t>&lt;[[DEVDeals] - [Proxy Entities (Seq: 2)] Deal Entity Role - Send]&gt;</t>
        </r>
      </text>
    </comment>
    <comment ref="F42" authorId="0" shapeId="0" xr:uid="{F6DDDB63-FB72-4429-9177-B9D6B76785B9}">
      <text>
        <r>
          <rPr>
            <b/>
            <sz val="9"/>
            <color indexed="81"/>
            <rFont val="Tahoma"/>
            <family val="2"/>
          </rPr>
          <t>&lt;[[DEVDeals] - [Proxy Entities (Seq: 2)] Direct Phone - Send]&gt;</t>
        </r>
      </text>
    </comment>
    <comment ref="F43" authorId="0" shapeId="0" xr:uid="{10AEBD6E-CDA9-4AD4-86EE-CE79326020F2}">
      <text>
        <r>
          <rPr>
            <b/>
            <sz val="9"/>
            <color indexed="81"/>
            <rFont val="Tahoma"/>
            <family val="2"/>
          </rPr>
          <t>&lt;[[DEVDeals] - [Proxy Entities (Seq: 2)] Email Address 1 - Send]&gt;</t>
        </r>
      </text>
    </comment>
    <comment ref="F44" authorId="0" shapeId="0" xr:uid="{655151D5-D805-4AC9-9B99-935B1CF83094}">
      <text>
        <r>
          <rPr>
            <b/>
            <sz val="9"/>
            <color indexed="81"/>
            <rFont val="Tahoma"/>
            <family val="2"/>
          </rPr>
          <t>&lt;[[DEVDeals] - [Proxy Entities (Seq: 2)] Tax ID Number - Send]&gt;</t>
        </r>
      </text>
    </comment>
    <comment ref="F46" authorId="0" shapeId="0" xr:uid="{3B3B6015-1D47-4E71-B563-EFF7D8E39EA3}">
      <text>
        <r>
          <rPr>
            <b/>
            <sz val="9"/>
            <color indexed="81"/>
            <rFont val="Tahoma"/>
            <family val="2"/>
          </rPr>
          <t>&lt;[[DEVDeals] - [Proxy Entities (Seq: 3)] Company or Individual? - Send]&gt;</t>
        </r>
      </text>
    </comment>
    <comment ref="F47" authorId="0" shapeId="0" xr:uid="{3BB652CE-BFC5-4781-BAAC-A7A09AC5EFB7}">
      <text>
        <r>
          <rPr>
            <b/>
            <sz val="9"/>
            <color indexed="81"/>
            <rFont val="Tahoma"/>
            <family val="2"/>
          </rPr>
          <t>&lt;[[DEVDeals] - [Proxy Entities (Seq: 3)] Name (Doing Business As) - Send]&gt;</t>
        </r>
      </text>
    </comment>
    <comment ref="F48" authorId="0" shapeId="0" xr:uid="{0A458645-77DB-49D3-A227-2575DD1B5D55}">
      <text>
        <r>
          <rPr>
            <b/>
            <sz val="9"/>
            <color indexed="81"/>
            <rFont val="Tahoma"/>
            <family val="2"/>
          </rPr>
          <t>&lt;[[DEVDeals] - [Proxy Entities (Seq: 3)] Address 1 - Send]&gt;</t>
        </r>
      </text>
    </comment>
    <comment ref="F49" authorId="0" shapeId="0" xr:uid="{819F0A72-3EA4-4DC5-969B-8138880ACF71}">
      <text>
        <r>
          <rPr>
            <b/>
            <sz val="9"/>
            <color indexed="81"/>
            <rFont val="Tahoma"/>
            <family val="2"/>
          </rPr>
          <t>&lt;[[DEVDeals] - [Proxy Entities (Seq: 3)] City - Send]&gt;</t>
        </r>
      </text>
    </comment>
    <comment ref="F50" authorId="0" shapeId="0" xr:uid="{DF2AEC52-7EC9-4350-B796-48FD167B717D}">
      <text>
        <r>
          <rPr>
            <b/>
            <sz val="9"/>
            <color indexed="81"/>
            <rFont val="Tahoma"/>
            <family val="2"/>
          </rPr>
          <t>&lt;[[DEVDeals] - [Proxy Entities (Seq: 3)] State - Send]&gt;</t>
        </r>
      </text>
    </comment>
    <comment ref="F51" authorId="0" shapeId="0" xr:uid="{2C3B25B7-3320-449E-91FA-DD1A51376A5F}">
      <text>
        <r>
          <rPr>
            <b/>
            <sz val="9"/>
            <color indexed="81"/>
            <rFont val="Tahoma"/>
            <family val="2"/>
          </rPr>
          <t>&lt;[[DEVDeals] - [Proxy Entities (Seq: 3)] Zip Code - Send]&gt;</t>
        </r>
      </text>
    </comment>
    <comment ref="F52" authorId="0" shapeId="0" xr:uid="{94F90F6B-F8DE-420A-BCDC-77D5F6C9B83F}">
      <text>
        <r>
          <rPr>
            <b/>
            <sz val="9"/>
            <color indexed="81"/>
            <rFont val="Tahoma"/>
            <family val="2"/>
          </rPr>
          <t>&lt;[[DEVDeals] - [Proxy Entities (Seq: 3)] Deal Entity Role - Send]&gt;</t>
        </r>
      </text>
    </comment>
    <comment ref="F53" authorId="0" shapeId="0" xr:uid="{7CD3D3F3-1FF7-48C1-80CA-AFD842D88710}">
      <text>
        <r>
          <rPr>
            <b/>
            <sz val="9"/>
            <color indexed="81"/>
            <rFont val="Tahoma"/>
            <family val="2"/>
          </rPr>
          <t>&lt;[[DEVDeals] - [Proxy Entities (Seq: 3)] Direct Phone - Send]&gt;</t>
        </r>
      </text>
    </comment>
    <comment ref="F54" authorId="0" shapeId="0" xr:uid="{1CC6C2F3-9E8A-4540-83EF-75DE49272952}">
      <text>
        <r>
          <rPr>
            <b/>
            <sz val="9"/>
            <color indexed="81"/>
            <rFont val="Tahoma"/>
            <family val="2"/>
          </rPr>
          <t>&lt;[[DEVDeals] - [Proxy Entities (Seq: 3)] Email Address 1 - Send]&gt;</t>
        </r>
      </text>
    </comment>
    <comment ref="F55" authorId="0" shapeId="0" xr:uid="{75C98D36-C38B-42E4-8EBC-5F168708C6E2}">
      <text>
        <r>
          <rPr>
            <b/>
            <sz val="9"/>
            <color indexed="81"/>
            <rFont val="Tahoma"/>
            <family val="2"/>
          </rPr>
          <t>&lt;[[DEVDeals] - [Proxy Entities (Seq: 3)] Tax ID Number - Send]&gt;</t>
        </r>
      </text>
    </comment>
    <comment ref="F57" authorId="0" shapeId="0" xr:uid="{871D8414-4848-4FA8-9286-BAAE61E2BD3A}">
      <text>
        <r>
          <rPr>
            <b/>
            <sz val="9"/>
            <color indexed="81"/>
            <rFont val="Tahoma"/>
            <family val="2"/>
          </rPr>
          <t>&lt;[[DEVDeals] - [Proxy Entities (Seq: 4)] Company or Individual? - Send]&gt;</t>
        </r>
      </text>
    </comment>
    <comment ref="F58" authorId="0" shapeId="0" xr:uid="{4D2A9064-54BE-41E9-A097-8C045AB530FC}">
      <text>
        <r>
          <rPr>
            <b/>
            <sz val="9"/>
            <color indexed="81"/>
            <rFont val="Tahoma"/>
            <family val="2"/>
          </rPr>
          <t>&lt;[[DEVDeals] - [Proxy Entities (Seq: 4)] Name (Doing Business As) - Send]&gt;</t>
        </r>
      </text>
    </comment>
    <comment ref="F59" authorId="0" shapeId="0" xr:uid="{B04C784F-255C-4F21-8052-1959AFB41AC0}">
      <text>
        <r>
          <rPr>
            <b/>
            <sz val="9"/>
            <color indexed="81"/>
            <rFont val="Tahoma"/>
            <family val="2"/>
          </rPr>
          <t>&lt;[[DEVDeals] - [Proxy Entities (Seq: 4)] Address 1 - Send]&gt;</t>
        </r>
      </text>
    </comment>
    <comment ref="F60" authorId="0" shapeId="0" xr:uid="{6C76269F-B926-4A54-A7CF-B7AB3CB449E8}">
      <text>
        <r>
          <rPr>
            <b/>
            <sz val="9"/>
            <color indexed="81"/>
            <rFont val="Tahoma"/>
            <family val="2"/>
          </rPr>
          <t>&lt;[[DEVDeals] - [Proxy Entities (Seq: 4)] City - Send]&gt;</t>
        </r>
      </text>
    </comment>
    <comment ref="F61" authorId="0" shapeId="0" xr:uid="{FF5CD1AB-FAFE-4197-82AC-603876E27A6C}">
      <text>
        <r>
          <rPr>
            <b/>
            <sz val="9"/>
            <color indexed="81"/>
            <rFont val="Tahoma"/>
            <family val="2"/>
          </rPr>
          <t>&lt;[[DEVDeals] - [Proxy Entities (Seq: 4)] State - Send]&gt;</t>
        </r>
      </text>
    </comment>
    <comment ref="F62" authorId="0" shapeId="0" xr:uid="{BDAF7E35-369D-4553-9A75-2EC21BECE407}">
      <text>
        <r>
          <rPr>
            <b/>
            <sz val="9"/>
            <color indexed="81"/>
            <rFont val="Tahoma"/>
            <family val="2"/>
          </rPr>
          <t>&lt;[[DEVDeals] - [Proxy Entities (Seq: 4)] Zip Code - Send]&gt;</t>
        </r>
      </text>
    </comment>
    <comment ref="F63" authorId="0" shapeId="0" xr:uid="{367B9D4F-5E6F-40C7-A3F3-3186B5A3BB60}">
      <text>
        <r>
          <rPr>
            <b/>
            <sz val="9"/>
            <color indexed="81"/>
            <rFont val="Tahoma"/>
            <family val="2"/>
          </rPr>
          <t>&lt;[[DEVDeals] - [Proxy Entities (Seq: 4)] Deal Entity Role - Send]&gt;</t>
        </r>
      </text>
    </comment>
    <comment ref="F64" authorId="0" shapeId="0" xr:uid="{AB3AFDB3-0E53-4216-8F13-187B62054C36}">
      <text>
        <r>
          <rPr>
            <b/>
            <sz val="9"/>
            <color indexed="81"/>
            <rFont val="Tahoma"/>
            <family val="2"/>
          </rPr>
          <t>&lt;[[DEVDeals] - [Proxy Entities (Seq: 4)] Direct Phone - Send]&gt;</t>
        </r>
      </text>
    </comment>
    <comment ref="F65" authorId="0" shapeId="0" xr:uid="{C90EF7B5-FCD0-4A58-8207-24F08AC081CC}">
      <text>
        <r>
          <rPr>
            <b/>
            <sz val="9"/>
            <color indexed="81"/>
            <rFont val="Tahoma"/>
            <family val="2"/>
          </rPr>
          <t>&lt;[[DEVDeals] - [Proxy Entities (Seq: 4)] Email Address 1 - Send]&gt;</t>
        </r>
      </text>
    </comment>
    <comment ref="F66" authorId="0" shapeId="0" xr:uid="{74B69C62-09C1-4528-AFEC-D9B1DEFDE361}">
      <text>
        <r>
          <rPr>
            <b/>
            <sz val="9"/>
            <color indexed="81"/>
            <rFont val="Tahoma"/>
            <family val="2"/>
          </rPr>
          <t>&lt;[[DEVDeals] - [Proxy Entities (Seq: 4)] Tax ID Number - Send]&gt;</t>
        </r>
      </text>
    </comment>
    <comment ref="F68" authorId="0" shapeId="0" xr:uid="{08DD9183-8C4F-4A9D-8705-67C5AF81C1AC}">
      <text>
        <r>
          <rPr>
            <b/>
            <sz val="9"/>
            <color indexed="81"/>
            <rFont val="Tahoma"/>
            <family val="2"/>
          </rPr>
          <t>&lt;[[DEVDeals] - [Proxy Entities (Seq: 5)] Company or Individual? - Send]&gt;</t>
        </r>
      </text>
    </comment>
    <comment ref="F69" authorId="0" shapeId="0" xr:uid="{EEBA877A-43D2-4953-8D76-E8EEF6105E57}">
      <text>
        <r>
          <rPr>
            <b/>
            <sz val="9"/>
            <color indexed="81"/>
            <rFont val="Tahoma"/>
            <family val="2"/>
          </rPr>
          <t>&lt;[[DEVDeals] - [Proxy Entities (Seq: 5)] Name (Doing Business As) - Send]&gt;</t>
        </r>
      </text>
    </comment>
    <comment ref="F70" authorId="0" shapeId="0" xr:uid="{459A704F-07F4-4DE1-ACB1-412BDC5B98E2}">
      <text>
        <r>
          <rPr>
            <b/>
            <sz val="9"/>
            <color indexed="81"/>
            <rFont val="Tahoma"/>
            <family val="2"/>
          </rPr>
          <t>&lt;[[DEVDeals] - [Proxy Entities (Seq: 5)] Address 1 - Send]&gt;</t>
        </r>
      </text>
    </comment>
    <comment ref="F71" authorId="0" shapeId="0" xr:uid="{0377A160-7676-40E9-9341-28350EF43D0A}">
      <text>
        <r>
          <rPr>
            <b/>
            <sz val="9"/>
            <color indexed="81"/>
            <rFont val="Tahoma"/>
            <family val="2"/>
          </rPr>
          <t>&lt;[[DEVDeals] - [Proxy Entities (Seq: 5)] City - Send]&gt;</t>
        </r>
      </text>
    </comment>
    <comment ref="F72" authorId="0" shapeId="0" xr:uid="{61133CAE-C14D-4312-AB36-B7941FE19DF8}">
      <text>
        <r>
          <rPr>
            <b/>
            <sz val="9"/>
            <color indexed="81"/>
            <rFont val="Tahoma"/>
            <family val="2"/>
          </rPr>
          <t>&lt;[[DEVDeals] - [Proxy Entities (Seq: 5)] State - Send]&gt;</t>
        </r>
      </text>
    </comment>
    <comment ref="F73" authorId="0" shapeId="0" xr:uid="{E1146C3C-37A5-44C0-A505-65922174C5B9}">
      <text>
        <r>
          <rPr>
            <b/>
            <sz val="9"/>
            <color indexed="81"/>
            <rFont val="Tahoma"/>
            <family val="2"/>
          </rPr>
          <t>&lt;[[DEVDeals] - [Proxy Entities (Seq: 5)] Zip Code - Send]&gt;</t>
        </r>
      </text>
    </comment>
    <comment ref="F74" authorId="0" shapeId="0" xr:uid="{A5D51775-61E0-469D-AA95-F6034BCA0D01}">
      <text>
        <r>
          <rPr>
            <b/>
            <sz val="9"/>
            <color indexed="81"/>
            <rFont val="Tahoma"/>
            <family val="2"/>
          </rPr>
          <t>&lt;[[DEVDeals] - [Proxy Entities (Seq: 5)] Deal Entity Role - Send]&gt;</t>
        </r>
      </text>
    </comment>
    <comment ref="F75" authorId="0" shapeId="0" xr:uid="{6A8722D8-683A-441C-81E6-438E07121F39}">
      <text>
        <r>
          <rPr>
            <b/>
            <sz val="9"/>
            <color indexed="81"/>
            <rFont val="Tahoma"/>
            <family val="2"/>
          </rPr>
          <t>&lt;[[DEVDeals] - [Proxy Entities (Seq: 5)] Direct Phone - Send]&gt;</t>
        </r>
      </text>
    </comment>
    <comment ref="F76" authorId="0" shapeId="0" xr:uid="{E6C86943-87BC-4273-8702-4824FBC1F869}">
      <text>
        <r>
          <rPr>
            <b/>
            <sz val="9"/>
            <color indexed="81"/>
            <rFont val="Tahoma"/>
            <family val="2"/>
          </rPr>
          <t>&lt;[[DEVDeals] - [Proxy Entities (Seq: 5)] Email Address 1 - Send]&gt;</t>
        </r>
      </text>
    </comment>
    <comment ref="F77" authorId="0" shapeId="0" xr:uid="{E49B5F03-ACC9-403E-8583-0E97AFB759C0}">
      <text>
        <r>
          <rPr>
            <b/>
            <sz val="9"/>
            <color indexed="81"/>
            <rFont val="Tahoma"/>
            <family val="2"/>
          </rPr>
          <t>&lt;[[DEVDeals] - [Proxy Entities (Seq: 5)] Tax ID Number - Send]&gt;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B8" authorId="0" shapeId="0" xr:uid="{98242A34-6042-46F3-988A-A2895104A6F6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Date CofO is Expected - Send]&gt;</t>
        </r>
      </text>
    </comment>
    <comment ref="E8" authorId="0" shapeId="0" xr:uid="{4CAE57C8-ABB1-49AD-9B08-4F4CF3D90848}">
      <text>
        <r>
          <rPr>
            <b/>
            <sz val="9"/>
            <color indexed="81"/>
            <rFont val="Tahoma"/>
            <family val="2"/>
          </rPr>
          <t>SJ Determined Future Assessed Value</t>
        </r>
      </text>
    </comment>
    <comment ref="F8" authorId="0" shapeId="0" xr:uid="{03304462-3E7A-4011-BBE5-705D2E975A09}">
      <text>
        <r>
          <rPr>
            <b/>
            <sz val="9"/>
            <color indexed="81"/>
            <rFont val="Tahoma"/>
            <family val="2"/>
          </rPr>
          <t>&lt;[[DEVDeals] Appraised Value - Send]&gt;</t>
        </r>
      </text>
    </comment>
    <comment ref="G8" authorId="0" shapeId="0" xr:uid="{FD449678-2F96-4534-A65A-F8E441290661}">
      <text>
        <r>
          <rPr>
            <b/>
            <sz val="9"/>
            <color indexed="81"/>
            <rFont val="Tahoma"/>
            <family val="2"/>
          </rPr>
          <t xml:space="preserve">SJ specific - </t>
        </r>
        <r>
          <rPr>
            <sz val="9"/>
            <color indexed="81"/>
            <rFont val="Tahoma"/>
            <family val="2"/>
          </rPr>
          <t>Calculates off Est Assessed Value as a $ per $1000.</t>
        </r>
      </text>
    </comment>
    <comment ref="H8" authorId="0" shapeId="0" xr:uid="{25276F5B-00C8-4E52-911D-11046D29A586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Fire District Tax - Send]&gt;</t>
        </r>
      </text>
    </comment>
    <comment ref="B10" authorId="0" shapeId="0" xr:uid="{03E70F45-18D3-4D40-A113-AFA51B1F5CE1}">
      <text>
        <r>
          <rPr>
            <b/>
            <sz val="9"/>
            <color indexed="81"/>
            <rFont val="Tahoma"/>
            <family val="2"/>
          </rPr>
          <t xml:space="preserve">Loan Balance: </t>
        </r>
        <r>
          <rPr>
            <sz val="9"/>
            <color indexed="81"/>
            <rFont val="Tahoma"/>
            <family val="2"/>
          </rPr>
          <t>Includes Grant Amount, SJ Admin, &amp; Assessor Admin</t>
        </r>
      </text>
    </comment>
    <comment ref="C10" authorId="0" shapeId="0" xr:uid="{A0A40E6A-084B-4057-8E21-F0924D35C8C4}">
      <text>
        <r>
          <rPr>
            <b/>
            <sz val="9"/>
            <color indexed="81"/>
            <rFont val="Tahoma"/>
            <family val="2"/>
          </rPr>
          <t>Calculation:</t>
        </r>
        <r>
          <rPr>
            <sz val="9"/>
            <color indexed="81"/>
            <rFont val="Tahoma"/>
            <family val="2"/>
          </rPr>
          <t xml:space="preserve"> Original Grant Amount / Grant Term</t>
        </r>
      </text>
    </comment>
    <comment ref="D10" authorId="0" shapeId="0" xr:uid="{870E14B4-CBFF-47FE-870D-E63FAD9A8089}">
      <text>
        <r>
          <rPr>
            <b/>
            <sz val="9"/>
            <color indexed="81"/>
            <rFont val="Tahoma"/>
            <family val="2"/>
          </rPr>
          <t xml:space="preserve">Total Payment: </t>
        </r>
        <r>
          <rPr>
            <sz val="9"/>
            <color indexed="81"/>
            <rFont val="Tahoma"/>
            <family val="2"/>
          </rPr>
          <t>Increases by 3% annually</t>
        </r>
      </text>
    </comment>
    <comment ref="E10" authorId="0" shapeId="0" xr:uid="{004F6071-EDD6-4CCE-84FF-F6FD020941A8}">
      <text>
        <r>
          <rPr>
            <b/>
            <sz val="9"/>
            <color indexed="81"/>
            <rFont val="Tahoma"/>
            <family val="2"/>
          </rPr>
          <t xml:space="preserve">Calcuation: </t>
        </r>
        <r>
          <rPr>
            <sz val="9"/>
            <color indexed="81"/>
            <rFont val="Tahoma"/>
            <family val="2"/>
          </rPr>
          <t>5% of Original Grant Amount, divided by Grant Term</t>
        </r>
      </text>
    </comment>
    <comment ref="F10" authorId="0" shapeId="0" xr:uid="{0C1F644C-6237-4E04-9DFA-18C22C9CDDF6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1% of Original Grant Amount divided by Grant Term</t>
        </r>
      </text>
    </comment>
    <comment ref="G10" authorId="0" shapeId="0" xr:uid="{430BC2CD-4994-428C-9C1B-D6E44A5E4A64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(Estimated Assessed Value / $1000) * Fire District Tax</t>
        </r>
      </text>
    </comment>
    <comment ref="H10" authorId="0" shapeId="0" xr:uid="{1BC8A58B-1D4A-46E9-A79F-5C1A124694E8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Estimated Annual Fee + SJ Admin Costs + Assessor Fee + Inflationary Factor</t>
        </r>
      </text>
    </comment>
    <comment ref="I10" authorId="0" shapeId="0" xr:uid="{DAAF0388-24BD-4C51-9F68-9B36439CD0C5}">
      <text>
        <r>
          <rPr>
            <b/>
            <sz val="9"/>
            <color indexed="81"/>
            <rFont val="Tahoma"/>
            <family val="2"/>
          </rPr>
          <t xml:space="preserve">Repayment to OHCS is reduced by Fire District Tax
</t>
        </r>
      </text>
    </comment>
    <comment ref="B28" authorId="0" shapeId="0" xr:uid="{C3535D51-670B-47D8-9288-4D667383B125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SJ Levy Code Area - Send]&gt;</t>
        </r>
      </text>
    </comment>
    <comment ref="C28" authorId="0" shapeId="0" xr:uid="{682497E8-5B24-4022-A326-3E44ABD2FFB3}">
      <text>
        <r>
          <rPr>
            <b/>
            <sz val="9"/>
            <color indexed="81"/>
            <rFont val="Tahoma"/>
            <family val="2"/>
          </rPr>
          <t>Includes Fire District Tax</t>
        </r>
      </text>
    </comment>
    <comment ref="D28" authorId="0" shapeId="0" xr:uid="{0D859C28-EF20-46BA-9CD8-4518D70DA982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Total SJ Levy Rate - Send]&gt;</t>
        </r>
      </text>
    </comment>
    <comment ref="E28" authorId="0" shapeId="0" xr:uid="{5D38459A-1E82-4985-821D-0745E26E7300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(75% of Est Assessed Value divided by $1000) * Total SJ Levy Rate</t>
        </r>
      </text>
    </comment>
    <comment ref="F28" authorId="0" shapeId="0" xr:uid="{ACAD56BD-FB51-4F03-95D2-76969AD7A14A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Estimated Annual Taxes Upon Completion - Send]&gt;</t>
        </r>
      </text>
    </comment>
    <comment ref="B30" authorId="0" shapeId="0" xr:uid="{F2AAAF46-7773-4F87-A74F-CC13EACD25F3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Current Annual Tax Amount - Send]&gt;</t>
        </r>
      </text>
    </comment>
    <comment ref="C30" authorId="0" shapeId="0" xr:uid="{1E43158C-5142-4E64-B9FD-53EFAA8FC810}">
      <text>
        <r>
          <rPr>
            <b/>
            <sz val="9"/>
            <color indexed="81"/>
            <rFont val="Tahoma"/>
            <family val="2"/>
          </rPr>
          <t xml:space="preserve">Calculation: </t>
        </r>
        <r>
          <rPr>
            <sz val="9"/>
            <color indexed="81"/>
            <rFont val="Tahoma"/>
            <family val="2"/>
          </rPr>
          <t>Difference between Estimated Annual Taxes and Current Annual Taxes, multiplied by the Grant Term (years)</t>
        </r>
      </text>
    </comment>
    <comment ref="D30" authorId="0" shapeId="0" xr:uid="{B1C82D25-EE28-4C5C-9AAE-AC65A32C809F}">
      <text>
        <r>
          <rPr>
            <b/>
            <sz val="9"/>
            <color indexed="81"/>
            <rFont val="Tahoma"/>
            <family val="2"/>
          </rPr>
          <t>&lt;[[DEVDeals] - [Loans (Seq: 1)] - [Loans - User Defined Field Values (Seq: 1)] MIRL - Maximum Grant Amount - Send]&gt;</t>
        </r>
      </text>
    </comment>
  </commentList>
</comments>
</file>

<file path=xl/sharedStrings.xml><?xml version="1.0" encoding="utf-8"?>
<sst xmlns="http://schemas.openxmlformats.org/spreadsheetml/2006/main" count="709" uniqueCount="378">
  <si>
    <t>Sponsoring Jurisdiction (SJ):</t>
  </si>
  <si>
    <t>County:</t>
  </si>
  <si>
    <t>This request is for:</t>
  </si>
  <si>
    <t>Submitted by Contact:</t>
  </si>
  <si>
    <t>Assessor Contact:</t>
  </si>
  <si>
    <t>Phone Number:</t>
  </si>
  <si>
    <t>Email Address:</t>
  </si>
  <si>
    <t>Rural Region?</t>
  </si>
  <si>
    <t>SJ Validated Grant Request :</t>
  </si>
  <si>
    <t>Total Loan Request to SJ:</t>
  </si>
  <si>
    <t>SJ Administrative Costs:</t>
  </si>
  <si>
    <t>County Administative Costs</t>
  </si>
  <si>
    <t>Development Team Information</t>
  </si>
  <si>
    <t>Lender</t>
  </si>
  <si>
    <t>Mailing Address</t>
  </si>
  <si>
    <t>Contact:</t>
  </si>
  <si>
    <t>TIN:</t>
  </si>
  <si>
    <t>COBID Certified?:</t>
  </si>
  <si>
    <t>CDFI?</t>
  </si>
  <si>
    <t>General Contractor</t>
  </si>
  <si>
    <t>Architect</t>
  </si>
  <si>
    <t>Project Development Information</t>
  </si>
  <si>
    <t>Physical Address:</t>
  </si>
  <si>
    <t>Project Type:</t>
  </si>
  <si>
    <t>Adaptive Reuse of Nonresidential Building</t>
  </si>
  <si>
    <t>Total Project Costs:</t>
  </si>
  <si>
    <t>New Construction</t>
  </si>
  <si>
    <t>City</t>
  </si>
  <si>
    <t>County</t>
  </si>
  <si>
    <t># of units</t>
  </si>
  <si>
    <t>Zip Code</t>
  </si>
  <si>
    <t># of buildings</t>
  </si>
  <si>
    <t>Unit Mix Summary</t>
  </si>
  <si>
    <t>Average SQFT</t>
  </si>
  <si>
    <t>Total # of units</t>
  </si>
  <si>
    <r>
      <t xml:space="preserve"># of units Restricted at </t>
    </r>
    <r>
      <rPr>
        <b/>
        <sz val="11"/>
        <color theme="1"/>
        <rFont val="Aptos Narrow"/>
        <family val="2"/>
      </rPr>
      <t>≤120% AMI</t>
    </r>
  </si>
  <si>
    <t>Unrestricted/Market Rate Units</t>
  </si>
  <si>
    <t>% of Restricted Units</t>
  </si>
  <si>
    <t>Single Room Occupancy (SRO)</t>
  </si>
  <si>
    <t xml:space="preserve">Studio/Efficiency </t>
  </si>
  <si>
    <t>1 Bedroom</t>
  </si>
  <si>
    <t>2 Bedroom</t>
  </si>
  <si>
    <t>3 Bedroom</t>
  </si>
  <si>
    <t>4 Bedroom</t>
  </si>
  <si>
    <t>5 Bedroom</t>
  </si>
  <si>
    <r>
      <t xml:space="preserve">Other </t>
    </r>
    <r>
      <rPr>
        <sz val="10"/>
        <color theme="1"/>
        <rFont val="Aptos Narrow"/>
        <family val="2"/>
        <scheme val="minor"/>
      </rPr>
      <t>(explain below)</t>
    </r>
  </si>
  <si>
    <t>Totals:</t>
  </si>
  <si>
    <t>Other unit type:</t>
  </si>
  <si>
    <t>Project Schedule</t>
  </si>
  <si>
    <r>
      <t>SJ Admin =</t>
    </r>
    <r>
      <rPr>
        <sz val="11"/>
        <color rgb="FFFFFF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5%</t>
    </r>
  </si>
  <si>
    <t>Assessor Admin = 1%</t>
  </si>
  <si>
    <t>Repayment Starts:</t>
  </si>
  <si>
    <t>Est Assessed Value:</t>
  </si>
  <si>
    <t>Payment Year</t>
  </si>
  <si>
    <t>Current Loan Balance</t>
  </si>
  <si>
    <t>Inflationary Factor</t>
  </si>
  <si>
    <t>SJ Admin. Costs</t>
  </si>
  <si>
    <t>Assessor Fee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</si>
  <si>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</si>
  <si>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</si>
  <si>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</si>
  <si>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</si>
  <si>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</si>
  <si>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</si>
  <si>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</si>
  <si>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</si>
  <si>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</si>
  <si>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</si>
  <si>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SJ Levy Code Area</t>
  </si>
  <si>
    <t>Total SJ Levy Rate</t>
  </si>
  <si>
    <t>Current Annual Taxes</t>
  </si>
  <si>
    <t>Maximum Grant Amount</t>
  </si>
  <si>
    <t>SJ Validated Grant Amount</t>
  </si>
  <si>
    <t>Ending Loan Balance</t>
  </si>
  <si>
    <t>Expected Date of CofO: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</si>
  <si>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</si>
  <si>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</si>
  <si>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</si>
  <si>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</si>
  <si>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</si>
  <si>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</si>
  <si>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</si>
  <si>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</si>
  <si>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</si>
  <si>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</si>
  <si>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</si>
  <si>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</si>
  <si>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</si>
  <si>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</si>
  <si>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</si>
  <si>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</si>
  <si>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</si>
  <si>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</si>
  <si>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</si>
  <si>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</si>
  <si>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</si>
  <si>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</si>
  <si>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</si>
  <si>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</si>
  <si>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</si>
  <si>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</si>
  <si>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</si>
  <si>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</si>
  <si>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</si>
  <si>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</si>
  <si>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</si>
  <si>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</si>
  <si>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</si>
  <si>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</si>
  <si>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</si>
  <si>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</si>
  <si>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Loan Term (years)</t>
  </si>
  <si>
    <t>Affordability Period (in years):</t>
  </si>
  <si>
    <t>Repayment Period (in years):</t>
  </si>
  <si>
    <t>Excel Field</t>
  </si>
  <si>
    <t>ProlinkHFA Field</t>
  </si>
  <si>
    <t>Direction</t>
  </si>
  <si>
    <t>Value</t>
  </si>
  <si>
    <t>Excel Tab</t>
  </si>
  <si>
    <t>MIRL Review Request</t>
  </si>
  <si>
    <t>Repayment Term (in years)</t>
  </si>
  <si>
    <t>Loans</t>
  </si>
  <si>
    <t>ProlinkHFA Schema</t>
  </si>
  <si>
    <t>Loan Term</t>
  </si>
  <si>
    <t>Send</t>
  </si>
  <si>
    <t>Amortization  Term</t>
  </si>
  <si>
    <t>Is Agency Lender?</t>
  </si>
  <si>
    <t>Loan Purpose</t>
  </si>
  <si>
    <t>FHA-Insured Multi-Family Housing</t>
  </si>
  <si>
    <t>MIRL SJ Loan</t>
  </si>
  <si>
    <t>Multi-Family Housing - Fannie Mae Backed</t>
  </si>
  <si>
    <t>Affordable Housing</t>
  </si>
  <si>
    <t>Taxable Mortgage</t>
  </si>
  <si>
    <t>Agro-Business Child Development Day Care</t>
  </si>
  <si>
    <t>Manufactured Home Cooperative</t>
  </si>
  <si>
    <t>Nursing Home and Healthcare</t>
  </si>
  <si>
    <t>Community Related Facilities</t>
  </si>
  <si>
    <t>Affordable Housing - NIDP</t>
  </si>
  <si>
    <t>Multiple-Family Housing</t>
  </si>
  <si>
    <t>Secured Loan</t>
  </si>
  <si>
    <t>Housing Project Fund</t>
  </si>
  <si>
    <t>Multiple-Family FHA Insured</t>
  </si>
  <si>
    <t>FHA_Insured Mulit-Family Housing</t>
  </si>
  <si>
    <t>Muli-Family Housing - Fannie Mae Backed</t>
  </si>
  <si>
    <t>Transitional Housing Project</t>
  </si>
  <si>
    <t xml:space="preserve">Loans </t>
  </si>
  <si>
    <t>Payment Frequency</t>
  </si>
  <si>
    <t>Loan Structure</t>
  </si>
  <si>
    <t>Non-participating (HFA only)</t>
  </si>
  <si>
    <t>Participating Loan - HFA lead lender</t>
  </si>
  <si>
    <t>Participating Loan - HFA not lead lender</t>
  </si>
  <si>
    <t>Loan Product Type</t>
  </si>
  <si>
    <t>Mortgage Loan Facility</t>
  </si>
  <si>
    <t>Mortgage Loan</t>
  </si>
  <si>
    <t>Subsidy Loan</t>
  </si>
  <si>
    <t>Participating Loan</t>
  </si>
  <si>
    <t>Loan Guarantee</t>
  </si>
  <si>
    <t>Loan Status</t>
  </si>
  <si>
    <t>Committed</t>
  </si>
  <si>
    <t>Forbearance</t>
  </si>
  <si>
    <t>Conveyed</t>
  </si>
  <si>
    <t>Forgiven</t>
  </si>
  <si>
    <t>Funded</t>
  </si>
  <si>
    <t>Paid in Full</t>
  </si>
  <si>
    <t>Removed</t>
  </si>
  <si>
    <t>Under Application</t>
  </si>
  <si>
    <t>Under Construction</t>
  </si>
  <si>
    <t>Watchlist</t>
  </si>
  <si>
    <t>Loan Number</t>
  </si>
  <si>
    <t>SJ Assigned HFA #:</t>
  </si>
  <si>
    <t># of MIRL Applications submitted to date:</t>
  </si>
  <si>
    <t>Loan Program Type</t>
  </si>
  <si>
    <t>Elderly/Disabled Bond Loan</t>
  </si>
  <si>
    <t>Risk Share Bond Loan</t>
  </si>
  <si>
    <t>Individual</t>
  </si>
  <si>
    <t>Affordable</t>
  </si>
  <si>
    <t>Direct Purchase</t>
  </si>
  <si>
    <t>SN with RB</t>
  </si>
  <si>
    <t>Annually</t>
  </si>
  <si>
    <t>Funding</t>
  </si>
  <si>
    <t>DEV Funding Source</t>
  </si>
  <si>
    <t>Predevelopment Funding (PDLP)</t>
  </si>
  <si>
    <t xml:space="preserve">BOND      </t>
  </si>
  <si>
    <t>Community Incentive Fund (CIF)</t>
  </si>
  <si>
    <t xml:space="preserve">GAP-OHCS  </t>
  </si>
  <si>
    <t>GHAP</t>
  </si>
  <si>
    <t xml:space="preserve">GHAP-G    </t>
  </si>
  <si>
    <t>GHAP - Veterans Set-Aside</t>
  </si>
  <si>
    <t xml:space="preserve">HDGP </t>
  </si>
  <si>
    <t>HELP (FAF)</t>
  </si>
  <si>
    <t>HOME - OHCS</t>
  </si>
  <si>
    <t>HPF - LBB Preservation</t>
  </si>
  <si>
    <t>HTF - Federal</t>
  </si>
  <si>
    <t xml:space="preserve">LIFT </t>
  </si>
  <si>
    <t>LOAN</t>
  </si>
  <si>
    <t>OMEP - PacifiCorp</t>
  </si>
  <si>
    <t>OMEP - PGE</t>
  </si>
  <si>
    <t xml:space="preserve">MHHF </t>
  </si>
  <si>
    <t xml:space="preserve">OMEP </t>
  </si>
  <si>
    <t>ORR</t>
  </si>
  <si>
    <t>PSH Capital</t>
  </si>
  <si>
    <t>UFRF: Umatilla Flood Relief Funds</t>
  </si>
  <si>
    <t>Land Acquisition Program</t>
  </si>
  <si>
    <t>PSH Rental Assitance (Temp)</t>
  </si>
  <si>
    <t>Homeownership New Development Fund</t>
  </si>
  <si>
    <t>Preservation</t>
  </si>
  <si>
    <t xml:space="preserve">PSH Non-Capital Services/Rent Assistance </t>
  </si>
  <si>
    <t>Homeownership Market Cost Offset Fund</t>
  </si>
  <si>
    <t xml:space="preserve">HDIP2 Lift Supplemental Grants </t>
  </si>
  <si>
    <t>HDIP1 Development Subsidies</t>
  </si>
  <si>
    <t>HDIP1 Tribal Homeownership Dev Grants</t>
  </si>
  <si>
    <t>HDIP1 Pre Dev &amp; Capacity Bldg Grants</t>
  </si>
  <si>
    <t>HDIP2 HMCOF</t>
  </si>
  <si>
    <t>Grant - Federal Funds</t>
  </si>
  <si>
    <t>Community Project Funding Grant</t>
  </si>
  <si>
    <t>Manufactured Park Preservation General Fund</t>
  </si>
  <si>
    <t>DRR-WF-LRB</t>
  </si>
  <si>
    <t xml:space="preserve">HOME-ARP </t>
  </si>
  <si>
    <t>Ag Worker Housing Grant Program</t>
  </si>
  <si>
    <t>Amount</t>
  </si>
  <si>
    <t>Company or Individual?</t>
  </si>
  <si>
    <t>Name</t>
  </si>
  <si>
    <t>Address</t>
  </si>
  <si>
    <t>State</t>
  </si>
  <si>
    <t>Deal Entity Role</t>
  </si>
  <si>
    <t>Direct Phone</t>
  </si>
  <si>
    <t>Email Address</t>
  </si>
  <si>
    <t>TIN</t>
  </si>
  <si>
    <t>Proxy Entities (Seq 1)</t>
  </si>
  <si>
    <t>Rural/Urban?</t>
  </si>
  <si>
    <t>Urban</t>
  </si>
  <si>
    <t>Rural</t>
  </si>
  <si>
    <t xml:space="preserve"> 1. Option/Contract executed</t>
  </si>
  <si>
    <t xml:space="preserve"> 2. Site Acquisition</t>
  </si>
  <si>
    <t xml:space="preserve"> 3. Zoning Approval</t>
  </si>
  <si>
    <t xml:space="preserve"> 4a. Building Permit &amp; Fees Applied For</t>
  </si>
  <si>
    <t xml:space="preserve"> 4b. Building Permits Approved</t>
  </si>
  <si>
    <t xml:space="preserve"> 5. Offsite Improvements</t>
  </si>
  <si>
    <t xml:space="preserve"> 6. Plans Completed</t>
  </si>
  <si>
    <t>Permanant Loan</t>
  </si>
  <si>
    <t>Development</t>
  </si>
  <si>
    <t>Marketing</t>
  </si>
  <si>
    <t>Estimated Place in Service</t>
  </si>
  <si>
    <t>Completed Date</t>
  </si>
  <si>
    <t>Proposed Date</t>
  </si>
  <si>
    <t>Parent Owner</t>
  </si>
  <si>
    <t>Sponsor/Developer/Applicant</t>
  </si>
  <si>
    <t>Perm Lender</t>
  </si>
  <si>
    <t>Sponsor/Developer Name:</t>
  </si>
  <si>
    <t>Architect Firm Name:</t>
  </si>
  <si>
    <t>General Contractor Name:</t>
  </si>
  <si>
    <t>Lender Name:</t>
  </si>
  <si>
    <t>Moderate Income Revolving Loan (MIRL)</t>
  </si>
  <si>
    <t>MIRL</t>
  </si>
  <si>
    <t>Company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</si>
  <si>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</si>
  <si>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</si>
  <si>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</si>
  <si>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</si>
  <si>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</si>
  <si>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</si>
  <si>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</si>
  <si>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</si>
  <si>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</si>
  <si>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</si>
  <si>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</si>
  <si>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</si>
  <si>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</si>
  <si>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</si>
  <si>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</si>
  <si>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</si>
  <si>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</si>
  <si>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</si>
  <si>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</si>
  <si>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</si>
  <si>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</si>
  <si>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</si>
  <si>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</si>
  <si>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</si>
  <si>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</si>
  <si>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</si>
  <si>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</si>
  <si>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</si>
  <si>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</si>
  <si>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</si>
  <si>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</si>
  <si>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</si>
  <si>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</si>
  <si>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</si>
  <si>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</si>
  <si>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</si>
  <si>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</si>
  <si>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</si>
  <si>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</si>
  <si>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</si>
  <si>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</si>
  <si>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</si>
  <si>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</si>
  <si>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</si>
  <si>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</si>
  <si>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</si>
  <si>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</si>
  <si>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</si>
  <si>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</si>
  <si>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</si>
  <si>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</si>
  <si>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Agent Contact</t>
  </si>
  <si>
    <t>AM Special Activity</t>
  </si>
  <si>
    <t>Applicant</t>
  </si>
  <si>
    <t>Assistant Agent Contact</t>
  </si>
  <si>
    <t>Auditor</t>
  </si>
  <si>
    <t>CCPC Contact</t>
  </si>
  <si>
    <t>Compliance Contact</t>
  </si>
  <si>
    <t>Consultant</t>
  </si>
  <si>
    <t>Designated Owner</t>
  </si>
  <si>
    <t>Environmental Engineer</t>
  </si>
  <si>
    <t>HAP Contact</t>
  </si>
  <si>
    <t>Invoice Contact</t>
  </si>
  <si>
    <t>Master Lessee - Property Management</t>
  </si>
  <si>
    <t>Monitoring Fee Contact</t>
  </si>
  <si>
    <t>Owner Contact</t>
  </si>
  <si>
    <t>Portfolio / Asset Manager - External</t>
  </si>
  <si>
    <t>PuSH Designee</t>
  </si>
  <si>
    <t>Site Contact</t>
  </si>
  <si>
    <t>Co-Developer</t>
  </si>
  <si>
    <t>Grantee</t>
  </si>
  <si>
    <t>Guarantor</t>
  </si>
  <si>
    <t>Equity Investor</t>
  </si>
  <si>
    <t>General Partner</t>
  </si>
  <si>
    <t>Insurance Broker</t>
  </si>
  <si>
    <t>Insurance Carrier</t>
  </si>
  <si>
    <t>Developer</t>
  </si>
  <si>
    <t>Management Agent</t>
  </si>
  <si>
    <t>Owner</t>
  </si>
  <si>
    <t>Law Firm</t>
  </si>
  <si>
    <t>Lessee</t>
  </si>
  <si>
    <t>Limited Partner</t>
  </si>
  <si>
    <t>Managing Member</t>
  </si>
  <si>
    <t>Member</t>
  </si>
  <si>
    <t>OAHTC Lender</t>
  </si>
  <si>
    <t>Other</t>
  </si>
  <si>
    <t>Partner</t>
  </si>
  <si>
    <t>Project Manager</t>
  </si>
  <si>
    <t>PSH Services Provider</t>
  </si>
  <si>
    <t>Resident Service Provider</t>
  </si>
  <si>
    <t>Sponsor</t>
  </si>
  <si>
    <t>Syndicator</t>
  </si>
  <si>
    <t>Title Company</t>
  </si>
  <si>
    <t>Accountant</t>
  </si>
  <si>
    <t>Business Relationship</t>
  </si>
  <si>
    <t>CFO</t>
  </si>
  <si>
    <t>Management Entity</t>
  </si>
  <si>
    <t>Mortgage Banker</t>
  </si>
  <si>
    <t>Partnership</t>
  </si>
  <si>
    <t>Controller</t>
  </si>
  <si>
    <t>Management Entity Contact</t>
  </si>
  <si>
    <t>Proxy Entities (Seq 2)</t>
  </si>
  <si>
    <t>Proxy Entities (Seq 3)</t>
  </si>
  <si>
    <t>Proxy Entities (Seq 4)</t>
  </si>
  <si>
    <t>Proxy Entities (Seq 5)</t>
  </si>
  <si>
    <t>7. Firm Commitment</t>
  </si>
  <si>
    <t>8. Closing/Funding of Loan</t>
  </si>
  <si>
    <t>9. Firm Commitment</t>
  </si>
  <si>
    <t>10. Closing/Funding of Loan</t>
  </si>
  <si>
    <t>11. Construction Begins</t>
  </si>
  <si>
    <t>12. Construction Completed</t>
  </si>
  <si>
    <t>13. Certificate of Occupancy</t>
  </si>
  <si>
    <t>Assumptions:</t>
  </si>
  <si>
    <t>Total Fee Payment to SJ</t>
  </si>
  <si>
    <t>Annual Loan Payment to OHCS</t>
  </si>
  <si>
    <t>Estimated Loan Repayment</t>
  </si>
  <si>
    <t>MIRL Program Loan Request</t>
  </si>
  <si>
    <t>Fire District Fee</t>
  </si>
  <si>
    <t>Fire District Levy Rate:</t>
  </si>
  <si>
    <t>Estimated Annual Taxes upon Construction Completion</t>
  </si>
  <si>
    <t>Construction Loan</t>
  </si>
  <si>
    <t>MIRL Intial Amortization Schedule</t>
  </si>
  <si>
    <t>Fire District Fee will increase at 3% per annum per Measure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</si>
</sst>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00\-0000000"/>
    <numFmt numFmtId="167" formatCode="_(&quot;$&quot;* #,##0_);_(&quot;$&quot;* \(#,##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0" fillId="4" borderId="1" xfId="0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9" fontId="0" fillId="4" borderId="1" xfId="2" applyFont="1" applyFill="1" applyBorder="1"/>
    <xf numFmtId="0" fontId="0" fillId="4" borderId="3" xfId="0" applyFill="1" applyBorder="1"/>
    <xf numFmtId="9" fontId="0" fillId="4" borderId="3" xfId="2" applyFont="1" applyFill="1" applyBorder="1"/>
    <xf numFmtId="0" fontId="0" fillId="4" borderId="2" xfId="0" applyFill="1" applyBorder="1"/>
    <xf numFmtId="9" fontId="0" fillId="4" borderId="2" xfId="2" applyFont="1" applyFill="1" applyBorder="1"/>
    <xf numFmtId="44" fontId="0" fillId="4" borderId="1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0" fillId="4" borderId="1" xfId="1" applyNumberFormat="1" applyFont="1" applyFill="1" applyBorder="1"/>
    <xf numFmtId="44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4" fontId="0" fillId="6" borderId="1" xfId="0" applyNumberFormat="1" applyFill="1" applyBorder="1" applyAlignment="1">
      <alignment vertical="center"/>
    </xf>
    <xf numFmtId="49" fontId="0" fillId="0" borderId="0" xfId="0" applyNumberFormat="1"/>
    <xf numFmtId="49" fontId="0" fillId="4" borderId="1" xfId="0" applyNumberFormat="1" applyFill="1" applyBorder="1"/>
    <xf numFmtId="1" fontId="0" fillId="3" borderId="1" xfId="0" applyNumberFormat="1" applyFill="1" applyBorder="1" applyProtection="1">
      <protection locked="0"/>
    </xf>
    <xf numFmtId="8" fontId="0" fillId="4" borderId="1" xfId="1" applyNumberFormat="1" applyFont="1" applyFill="1" applyBorder="1" applyAlignment="1">
      <alignment vertical="center"/>
    </xf>
    <xf numFmtId="1" fontId="0" fillId="3" borderId="1" xfId="0" applyNumberFormat="1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8" fontId="0" fillId="6" borderId="1" xfId="0" applyNumberFormat="1" applyFill="1" applyBorder="1" applyAlignment="1">
      <alignment vertical="center"/>
    </xf>
    <xf numFmtId="8" fontId="0" fillId="0" borderId="0" xfId="0" applyNumberFormat="1" applyAlignment="1">
      <alignment horizontal="center" vertical="center"/>
    </xf>
    <xf numFmtId="0" fontId="0" fillId="3" borderId="2" xfId="0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5" borderId="6" xfId="0" applyFill="1" applyBorder="1"/>
    <xf numFmtId="0" fontId="0" fillId="8" borderId="0" xfId="0" applyFill="1"/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right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2" fillId="8" borderId="0" xfId="0" applyFont="1" applyFill="1"/>
    <xf numFmtId="0" fontId="0" fillId="8" borderId="8" xfId="0" applyFill="1" applyBorder="1"/>
    <xf numFmtId="0" fontId="0" fillId="2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12" fillId="3" borderId="1" xfId="3" applyFill="1" applyBorder="1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Protection="1">
      <protection locked="0"/>
    </xf>
    <xf numFmtId="0" fontId="13" fillId="8" borderId="0" xfId="0" applyFont="1" applyFill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0" fillId="0" borderId="0" xfId="0" applyAlignment="1">
      <alignment horizontal="center" vertical="center" textRotation="45" wrapText="1"/>
    </xf>
    <xf numFmtId="44" fontId="0" fillId="3" borderId="1" xfId="1" applyFont="1" applyFill="1" applyBorder="1" applyAlignment="1" applyProtection="1">
      <alignment vertical="center"/>
      <protection locked="0"/>
    </xf>
    <xf numFmtId="14" fontId="0" fillId="3" borderId="1" xfId="0" applyNumberFormat="1" applyFill="1" applyBorder="1" applyAlignment="1" applyProtection="1">
      <alignment vertical="center"/>
      <protection locked="0"/>
    </xf>
    <xf numFmtId="0" fontId="0" fillId="6" borderId="1" xfId="0" applyFill="1" applyBorder="1" applyAlignment="1">
      <alignment vertical="center"/>
    </xf>
    <xf numFmtId="167" fontId="0" fillId="3" borderId="1" xfId="1" applyNumberFormat="1" applyFont="1" applyFill="1" applyBorder="1" applyAlignment="1" applyProtection="1">
      <alignment vertical="center"/>
      <protection locked="0"/>
    </xf>
    <xf numFmtId="44" fontId="0" fillId="6" borderId="1" xfId="1" applyFont="1" applyFill="1" applyBorder="1" applyAlignment="1" applyProtection="1">
      <alignment vertical="center"/>
    </xf>
    <xf numFmtId="44" fontId="0" fillId="6" borderId="1" xfId="1" applyFont="1" applyFill="1" applyBorder="1" applyAlignment="1" applyProtection="1">
      <alignment horizontal="center" vertical="center"/>
    </xf>
    <xf numFmtId="44" fontId="9" fillId="6" borderId="1" xfId="1" applyFont="1" applyFill="1" applyBorder="1" applyAlignment="1" applyProtection="1">
      <alignment vertical="center"/>
    </xf>
    <xf numFmtId="0" fontId="0" fillId="8" borderId="0" xfId="0" applyFill="1" applyAlignment="1">
      <alignment horizontal="center" vertical="center" wrapText="1"/>
    </xf>
    <xf numFmtId="0" fontId="10" fillId="8" borderId="0" xfId="0" applyFon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6" fontId="0" fillId="8" borderId="0" xfId="0" applyNumberForma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0" fillId="8" borderId="0" xfId="0" applyFill="1" applyAlignment="1">
      <alignment vertical="center" wrapText="1"/>
    </xf>
    <xf numFmtId="0" fontId="14" fillId="8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6"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rgb="FFFF0000"/>
      </font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1710914</xdr:colOff>
      <xdr:row>1</xdr:row>
      <xdr:rowOff>155375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ED8F32-EE3C-8FC4-E69E-76E1E9F1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0"/>
          <a:ext cx="1703294" cy="1702459"/>
        </a:xfrm>
        <a:prstGeom prst="rect">
          <a:avLst/>
        </a:prstGeom>
      </xdr:spPr>
    </xdr:pic>
    <xdr:clientData/>
  </xdr:twoCellAnchor>
  <xdr:twoCellAnchor editAs="oneCell">
    <xdr:from>
      <xdr:col>10</xdr:col>
      <xdr:colOff>1828800</xdr:colOff>
      <xdr:row>0</xdr:row>
      <xdr:rowOff>371475</xdr:rowOff>
    </xdr:from>
    <xdr:to>
      <xdr:col>15</xdr:col>
      <xdr:colOff>494911</xdr:colOff>
      <xdr:row>0</xdr:row>
      <xdr:rowOff>1266713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0DEE3B-E7BC-2975-6326-2DF44495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01675" y="371475"/>
          <a:ext cx="3114286" cy="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9525</xdr:rowOff>
    </xdr:from>
    <xdr:to>
      <xdr:col>0</xdr:col>
      <xdr:colOff>1504951</xdr:colOff>
      <xdr:row>0</xdr:row>
      <xdr:rowOff>1448352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47972-A01C-45B5-864D-903F207D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"/>
          <a:ext cx="1314450" cy="1438827"/>
        </a:xfrm>
        <a:prstGeom prst="rect">
          <a:avLst/>
        </a:prstGeom>
      </xdr:spPr>
    </xdr:pic>
    <xdr:clientData/>
  </xdr:twoCellAnchor>
  <xdr:twoCellAnchor editAs="oneCell">
    <xdr:from>
      <xdr:col>11</xdr:col>
      <xdr:colOff>290419</xdr:colOff>
      <xdr:row>0</xdr:row>
      <xdr:rowOff>428626</xdr:rowOff>
    </xdr:from>
    <xdr:to>
      <xdr:col>14</xdr:col>
      <xdr:colOff>28186</xdr:colOff>
      <xdr:row>0</xdr:row>
      <xdr:rowOff>1057275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16E6EC-26BB-4B82-94E0-B1C3838C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8294" y="428626"/>
          <a:ext cx="2442867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C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BBC4"/>
      </a:accent1>
      <a:accent2>
        <a:srgbClr val="E79B55"/>
      </a:accent2>
      <a:accent3>
        <a:srgbClr val="2D5271"/>
      </a:accent3>
      <a:accent4>
        <a:srgbClr val="466C43"/>
      </a:accent4>
      <a:accent5>
        <a:srgbClr val="BF9969"/>
      </a:accent5>
      <a:accent6>
        <a:srgbClr val="9BC980"/>
      </a:accent6>
      <a:hlink>
        <a:srgbClr val="466C43"/>
      </a:hlink>
      <a:folHlink>
        <a:srgbClr val="9BC9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6EC31-91F9-40BD-9D06-49440159E78F}">
  <sheetPr>
    <tabColor theme="5"/>
  </sheetPr>
  <dimension ref="A1:U98"/>
  <sheetViews>
    <sheetView tabSelected="1" zoomScaleNormal="100" workbookViewId="0">
      <selection activeCell="G44" sqref="G44"/>
    </sheetView>
  </sheetViews>
  <sheetFormatPr defaultRowHeight="15" x14ac:dyDescent="0.25"/>
  <cols>
    <col min="1" max="1" width="2.7109375" customWidth="1"/>
    <col min="2" max="2" width="35.42578125" customWidth="1"/>
    <col min="3" max="3" width="32" customWidth="1"/>
    <col min="4" max="4" width="2.140625" customWidth="1"/>
    <col min="5" max="5" width="1.85546875" customWidth="1"/>
    <col min="6" max="6" width="26" customWidth="1"/>
    <col min="7" max="7" width="38.7109375" bestFit="1" customWidth="1"/>
    <col min="8" max="8" width="2.28515625" customWidth="1"/>
    <col min="9" max="9" width="2.42578125" customWidth="1"/>
    <col min="10" max="10" width="30" customWidth="1"/>
    <col min="11" max="11" width="32.28515625" customWidth="1"/>
    <col min="12" max="12" width="7" customWidth="1"/>
  </cols>
  <sheetData>
    <row r="1" spans="1:21" s="33" customFormat="1" ht="121.5" customHeight="1" x14ac:dyDescent="0.25">
      <c r="C1" s="49" t="s">
        <v>371</v>
      </c>
      <c r="D1" s="49"/>
      <c r="E1" s="49"/>
      <c r="F1" s="49"/>
      <c r="G1" s="49"/>
      <c r="H1" s="49"/>
      <c r="I1" s="49"/>
      <c r="J1" s="49"/>
      <c r="K1" s="49"/>
    </row>
    <row r="2" spans="1:21" s="33" customFormat="1" x14ac:dyDescent="0.25"/>
    <row r="3" spans="1:21" s="32" customFormat="1" x14ac:dyDescent="0.25"/>
    <row r="4" spans="1:21" s="42" customFormat="1" x14ac:dyDescent="0.25"/>
    <row r="5" spans="1:21" x14ac:dyDescent="0.25">
      <c r="A5" s="33"/>
      <c r="B5" s="33"/>
      <c r="D5" s="33"/>
      <c r="E5" s="33"/>
      <c r="F5" s="33"/>
      <c r="H5" s="33"/>
      <c r="I5" s="33"/>
      <c r="J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x14ac:dyDescent="0.25">
      <c r="A6" s="33"/>
      <c r="B6" s="36" t="s">
        <v>0</v>
      </c>
      <c r="C6" s="15"/>
      <c r="D6" s="33"/>
      <c r="E6" s="33"/>
      <c r="F6" s="36" t="s">
        <v>1</v>
      </c>
      <c r="G6" s="48"/>
      <c r="H6" s="33"/>
      <c r="I6" s="33"/>
      <c r="J6" s="36" t="s">
        <v>2</v>
      </c>
      <c r="K6" s="4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x14ac:dyDescent="0.25">
      <c r="A7" s="33"/>
      <c r="B7" s="36"/>
      <c r="D7" s="33"/>
      <c r="E7" s="33"/>
      <c r="F7" s="36"/>
      <c r="H7" s="33"/>
      <c r="I7" s="33"/>
      <c r="J7" s="36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x14ac:dyDescent="0.25">
      <c r="A8" s="33"/>
      <c r="B8" s="36" t="s">
        <v>3</v>
      </c>
      <c r="C8" s="15"/>
      <c r="D8" s="33"/>
      <c r="E8" s="33"/>
      <c r="F8" s="36" t="s">
        <v>4</v>
      </c>
      <c r="G8" s="15"/>
      <c r="H8" s="33"/>
      <c r="I8" s="33"/>
      <c r="J8" s="36" t="s">
        <v>169</v>
      </c>
      <c r="K8" s="20"/>
      <c r="L8" s="33"/>
      <c r="M8" s="33"/>
      <c r="N8" s="33"/>
      <c r="O8" s="34"/>
      <c r="P8" s="33"/>
      <c r="Q8" s="33"/>
      <c r="R8" s="33"/>
      <c r="S8" s="33"/>
      <c r="T8" s="33"/>
      <c r="U8" s="33"/>
    </row>
    <row r="9" spans="1:21" x14ac:dyDescent="0.25">
      <c r="A9" s="33"/>
      <c r="B9" s="36"/>
      <c r="D9" s="33"/>
      <c r="E9" s="33"/>
      <c r="F9" s="36"/>
      <c r="H9" s="33"/>
      <c r="I9" s="33"/>
      <c r="J9" s="36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s="12" customFormat="1" ht="30" x14ac:dyDescent="0.25">
      <c r="A10" s="34"/>
      <c r="B10" s="37" t="s">
        <v>5</v>
      </c>
      <c r="C10" s="23"/>
      <c r="D10" s="34"/>
      <c r="E10" s="34"/>
      <c r="F10" s="37" t="s">
        <v>5</v>
      </c>
      <c r="G10" s="23"/>
      <c r="H10" s="34"/>
      <c r="I10" s="34"/>
      <c r="J10" s="38" t="s">
        <v>170</v>
      </c>
      <c r="K10" s="22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x14ac:dyDescent="0.25">
      <c r="A11" s="33"/>
      <c r="B11" s="36"/>
      <c r="D11" s="33"/>
      <c r="E11" s="33"/>
      <c r="F11" s="36"/>
      <c r="H11" s="33"/>
      <c r="I11" s="33"/>
      <c r="J11" s="36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x14ac:dyDescent="0.25">
      <c r="A12" s="33"/>
      <c r="B12" s="36" t="s">
        <v>6</v>
      </c>
      <c r="C12" s="46"/>
      <c r="D12" s="33"/>
      <c r="E12" s="33"/>
      <c r="F12" s="36" t="s">
        <v>6</v>
      </c>
      <c r="G12" s="15"/>
      <c r="H12" s="33"/>
      <c r="I12" s="33"/>
      <c r="J12" s="36" t="s">
        <v>7</v>
      </c>
      <c r="K12" s="1" t="str">
        <f>IFERROR(VLOOKUP(G6,'Data Sources'!B2:C37,2),"")</f>
        <v/>
      </c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pans="1:21" x14ac:dyDescent="0.25">
      <c r="A13" s="33"/>
      <c r="B13" s="33"/>
      <c r="D13" s="33"/>
      <c r="E13" s="33"/>
      <c r="F13" s="33"/>
      <c r="H13" s="33"/>
      <c r="I13" s="33"/>
      <c r="J13" s="33"/>
      <c r="L13" s="33"/>
      <c r="M13" s="33"/>
      <c r="N13" s="33"/>
      <c r="O13" s="33"/>
      <c r="P13" s="33"/>
      <c r="Q13" s="33"/>
      <c r="R13" s="33"/>
      <c r="S13" s="33"/>
      <c r="U13" s="33"/>
    </row>
    <row r="14" spans="1:21" x14ac:dyDescent="0.25">
      <c r="A14" s="33"/>
      <c r="B14" s="36" t="s">
        <v>8</v>
      </c>
      <c r="C14" s="14"/>
      <c r="D14" s="33"/>
      <c r="E14" s="33"/>
      <c r="F14" s="33" t="s">
        <v>9</v>
      </c>
      <c r="G14" s="9">
        <f>SUM(C14:C16)</f>
        <v>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x14ac:dyDescent="0.25">
      <c r="A15" s="33"/>
      <c r="B15" s="36" t="s">
        <v>10</v>
      </c>
      <c r="C15" s="13">
        <f>'Amortization Schedule'!D5</f>
        <v>0</v>
      </c>
      <c r="D15" s="33"/>
      <c r="E15" s="33"/>
      <c r="F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s="12" customFormat="1" ht="30" x14ac:dyDescent="0.25">
      <c r="A16" s="34"/>
      <c r="B16" s="37" t="s">
        <v>11</v>
      </c>
      <c r="C16" s="21">
        <f>'Amortization Schedule'!F5</f>
        <v>0</v>
      </c>
      <c r="D16" s="34"/>
      <c r="E16" s="34"/>
      <c r="F16" s="38" t="s">
        <v>113</v>
      </c>
      <c r="G16" s="47"/>
      <c r="H16" s="34"/>
      <c r="I16" s="34"/>
      <c r="J16" s="38" t="s">
        <v>112</v>
      </c>
      <c r="K16" s="22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25">
      <c r="A17" s="33"/>
      <c r="B17" s="33"/>
      <c r="D17" s="33"/>
      <c r="E17" s="33"/>
      <c r="F17" s="33"/>
      <c r="H17" s="33"/>
      <c r="I17" s="33"/>
      <c r="J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15.75" x14ac:dyDescent="0.25">
      <c r="B18" s="51" t="s">
        <v>12</v>
      </c>
      <c r="C18" s="51"/>
      <c r="D18" s="51"/>
      <c r="E18" s="51"/>
      <c r="F18" s="51"/>
      <c r="G18" s="51"/>
      <c r="H18" s="51"/>
      <c r="I18" s="51"/>
      <c r="J18" s="51"/>
      <c r="K18" s="51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 x14ac:dyDescent="0.25">
      <c r="A19" s="33"/>
      <c r="B19" s="40"/>
      <c r="C19" s="10"/>
      <c r="D19" s="40"/>
      <c r="E19" s="40"/>
      <c r="F19" s="40"/>
      <c r="G19" s="10"/>
      <c r="H19" s="40"/>
      <c r="I19" s="40"/>
      <c r="J19" s="40"/>
      <c r="K19" s="10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 x14ac:dyDescent="0.25">
      <c r="A20" s="33"/>
      <c r="B20" s="41" t="str">
        <f>IF(K6="Homeownership","Homeowner/Seller:","Single Asset Entity Name:")</f>
        <v>Single Asset Entity Name:</v>
      </c>
      <c r="C20" s="15"/>
      <c r="D20" s="33"/>
      <c r="E20" s="33"/>
      <c r="F20" s="41" t="s">
        <v>248</v>
      </c>
      <c r="G20" s="15"/>
      <c r="H20" s="33"/>
      <c r="I20" s="33"/>
      <c r="J20" s="41" t="s">
        <v>251</v>
      </c>
      <c r="K20" s="15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x14ac:dyDescent="0.25">
      <c r="A21" s="33"/>
      <c r="B21" s="33" t="s">
        <v>14</v>
      </c>
      <c r="C21" s="15"/>
      <c r="D21" s="33"/>
      <c r="E21" s="33"/>
      <c r="F21" s="33" t="s">
        <v>14</v>
      </c>
      <c r="G21" s="15"/>
      <c r="H21" s="33"/>
      <c r="I21" s="33"/>
      <c r="J21" s="33" t="s">
        <v>14</v>
      </c>
      <c r="K21" s="15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x14ac:dyDescent="0.25">
      <c r="A22" s="33"/>
      <c r="B22" s="33" t="s">
        <v>27</v>
      </c>
      <c r="C22" s="15"/>
      <c r="D22" s="33"/>
      <c r="E22" s="33"/>
      <c r="F22" s="33" t="s">
        <v>27</v>
      </c>
      <c r="G22" s="15"/>
      <c r="H22" s="33"/>
      <c r="I22" s="33"/>
      <c r="J22" s="33" t="s">
        <v>27</v>
      </c>
      <c r="K22" s="15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1:21" x14ac:dyDescent="0.25">
      <c r="A23" s="33"/>
      <c r="B23" s="33" t="s">
        <v>223</v>
      </c>
      <c r="C23" s="43"/>
      <c r="D23" s="33"/>
      <c r="E23" s="33"/>
      <c r="F23" s="33" t="s">
        <v>223</v>
      </c>
      <c r="G23" s="43"/>
      <c r="H23" s="33"/>
      <c r="I23" s="33"/>
      <c r="J23" s="33" t="s">
        <v>223</v>
      </c>
      <c r="K23" s="4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x14ac:dyDescent="0.25">
      <c r="A24" s="33"/>
      <c r="B24" s="33" t="s">
        <v>30</v>
      </c>
      <c r="C24" s="15"/>
      <c r="D24" s="33"/>
      <c r="E24" s="33"/>
      <c r="F24" s="33" t="s">
        <v>30</v>
      </c>
      <c r="G24" s="15"/>
      <c r="H24" s="33"/>
      <c r="I24" s="33"/>
      <c r="J24" s="33" t="s">
        <v>30</v>
      </c>
      <c r="K24" s="15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 x14ac:dyDescent="0.25">
      <c r="A25" s="33"/>
      <c r="B25" s="33" t="s">
        <v>15</v>
      </c>
      <c r="C25" s="15"/>
      <c r="D25" s="33"/>
      <c r="E25" s="33"/>
      <c r="F25" s="33" t="s">
        <v>15</v>
      </c>
      <c r="G25" s="15"/>
      <c r="H25" s="33"/>
      <c r="I25" s="33"/>
      <c r="J25" s="33" t="s">
        <v>15</v>
      </c>
      <c r="K25" s="15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 x14ac:dyDescent="0.25">
      <c r="A26" s="33"/>
      <c r="B26" s="33" t="s">
        <v>6</v>
      </c>
      <c r="C26" s="15"/>
      <c r="D26" s="33"/>
      <c r="E26" s="33"/>
      <c r="F26" s="33" t="s">
        <v>6</v>
      </c>
      <c r="G26" s="46"/>
      <c r="H26" s="33"/>
      <c r="I26" s="33"/>
      <c r="J26" s="33" t="s">
        <v>6</v>
      </c>
      <c r="K26" s="15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 x14ac:dyDescent="0.25">
      <c r="A27" s="33"/>
      <c r="B27" s="33" t="s">
        <v>5</v>
      </c>
      <c r="C27" s="44"/>
      <c r="D27" s="33"/>
      <c r="E27" s="33"/>
      <c r="F27" s="33" t="s">
        <v>5</v>
      </c>
      <c r="G27" s="44"/>
      <c r="H27" s="33"/>
      <c r="I27" s="33"/>
      <c r="J27" s="33" t="s">
        <v>5</v>
      </c>
      <c r="K27" s="44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x14ac:dyDescent="0.25">
      <c r="A28" s="33"/>
      <c r="B28" s="33" t="s">
        <v>16</v>
      </c>
      <c r="C28" s="45"/>
      <c r="D28" s="33"/>
      <c r="E28" s="33"/>
      <c r="F28" s="33" t="s">
        <v>16</v>
      </c>
      <c r="G28" s="45"/>
      <c r="H28" s="33"/>
      <c r="I28" s="33"/>
      <c r="J28" s="33" t="s">
        <v>16</v>
      </c>
      <c r="K28" s="45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x14ac:dyDescent="0.25">
      <c r="A29" s="33"/>
      <c r="B29" s="33"/>
      <c r="C29" s="33"/>
      <c r="D29" s="33"/>
      <c r="E29" s="33"/>
      <c r="F29" s="33" t="s">
        <v>17</v>
      </c>
      <c r="G29" s="43"/>
      <c r="H29" s="33"/>
      <c r="I29" s="33"/>
      <c r="J29" s="33" t="s">
        <v>18</v>
      </c>
      <c r="K29" s="4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x14ac:dyDescent="0.25">
      <c r="A30" s="33"/>
      <c r="B30" s="33"/>
      <c r="D30" s="33"/>
      <c r="E30" s="33"/>
      <c r="F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x14ac:dyDescent="0.25">
      <c r="A31" s="33"/>
      <c r="B31" s="41" t="s">
        <v>250</v>
      </c>
      <c r="C31" s="15"/>
      <c r="D31" s="33"/>
      <c r="E31" s="33"/>
      <c r="F31" s="41" t="s">
        <v>249</v>
      </c>
      <c r="G31" s="15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x14ac:dyDescent="0.25">
      <c r="A32" s="33"/>
      <c r="B32" s="33" t="s">
        <v>14</v>
      </c>
      <c r="C32" s="15"/>
      <c r="D32" s="33"/>
      <c r="E32" s="33"/>
      <c r="F32" s="33" t="s">
        <v>14</v>
      </c>
      <c r="G32" s="15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x14ac:dyDescent="0.25">
      <c r="A33" s="33"/>
      <c r="B33" s="33" t="s">
        <v>27</v>
      </c>
      <c r="C33" s="15"/>
      <c r="D33" s="33"/>
      <c r="E33" s="33"/>
      <c r="F33" s="33" t="s">
        <v>27</v>
      </c>
      <c r="G33" s="15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x14ac:dyDescent="0.25">
      <c r="A34" s="33"/>
      <c r="B34" s="33" t="s">
        <v>223</v>
      </c>
      <c r="C34" s="43"/>
      <c r="D34" s="33"/>
      <c r="E34" s="33"/>
      <c r="F34" s="33" t="s">
        <v>223</v>
      </c>
      <c r="G34" s="4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x14ac:dyDescent="0.25">
      <c r="A35" s="33"/>
      <c r="B35" s="33" t="s">
        <v>30</v>
      </c>
      <c r="C35" s="15"/>
      <c r="D35" s="33"/>
      <c r="E35" s="33"/>
      <c r="F35" s="33" t="s">
        <v>30</v>
      </c>
      <c r="G35" s="15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1" x14ac:dyDescent="0.25">
      <c r="A36" s="33"/>
      <c r="B36" s="33" t="s">
        <v>15</v>
      </c>
      <c r="C36" s="15"/>
      <c r="D36" s="33"/>
      <c r="E36" s="33"/>
      <c r="F36" s="33" t="s">
        <v>15</v>
      </c>
      <c r="G36" s="15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1" x14ac:dyDescent="0.25">
      <c r="A37" s="33"/>
      <c r="B37" s="33" t="s">
        <v>6</v>
      </c>
      <c r="C37" s="15"/>
      <c r="D37" s="33"/>
      <c r="E37" s="33"/>
      <c r="F37" s="33" t="s">
        <v>6</v>
      </c>
      <c r="G37" s="15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x14ac:dyDescent="0.25">
      <c r="A38" s="33"/>
      <c r="B38" s="33" t="s">
        <v>5</v>
      </c>
      <c r="C38" s="44"/>
      <c r="D38" s="33"/>
      <c r="E38" s="33"/>
      <c r="F38" s="33" t="s">
        <v>5</v>
      </c>
      <c r="G38" s="44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x14ac:dyDescent="0.25">
      <c r="A39" s="33"/>
      <c r="B39" s="33" t="s">
        <v>16</v>
      </c>
      <c r="C39" s="45"/>
      <c r="D39" s="33"/>
      <c r="E39" s="33"/>
      <c r="F39" s="33" t="s">
        <v>16</v>
      </c>
      <c r="G39" s="45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x14ac:dyDescent="0.25">
      <c r="A40" s="33"/>
      <c r="B40" s="33" t="s">
        <v>17</v>
      </c>
      <c r="C40" s="43"/>
      <c r="D40" s="33"/>
      <c r="E40" s="33"/>
      <c r="F40" s="33" t="s">
        <v>17</v>
      </c>
      <c r="G40" s="4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x14ac:dyDescent="0.25">
      <c r="A41" s="33"/>
      <c r="B41" s="33"/>
      <c r="D41" s="33"/>
      <c r="E41" s="33"/>
      <c r="F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ht="15.75" x14ac:dyDescent="0.25">
      <c r="B42" s="51" t="s">
        <v>21</v>
      </c>
      <c r="C42" s="51"/>
      <c r="D42" s="51"/>
      <c r="E42" s="51"/>
      <c r="F42" s="51"/>
      <c r="G42" s="51"/>
      <c r="H42" s="51"/>
      <c r="I42" s="51"/>
      <c r="J42" s="51"/>
      <c r="K42" s="51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x14ac:dyDescent="0.25">
      <c r="A43" s="33"/>
      <c r="B43" s="33"/>
      <c r="D43" s="33"/>
      <c r="E43" s="33"/>
      <c r="F43" s="33"/>
      <c r="H43" s="33"/>
      <c r="I43" s="33"/>
      <c r="J43" s="33"/>
      <c r="L43" s="33"/>
      <c r="M43" s="33"/>
      <c r="N43" s="33"/>
      <c r="O43" s="33"/>
      <c r="P43" s="33"/>
      <c r="Q43" s="33"/>
      <c r="R43" s="33"/>
      <c r="S43" s="33"/>
      <c r="T43" s="33"/>
      <c r="U43" s="33"/>
    </row>
    <row r="44" spans="1:21" x14ac:dyDescent="0.25">
      <c r="A44" s="33"/>
      <c r="B44" s="33" t="s">
        <v>22</v>
      </c>
      <c r="C44" s="15"/>
      <c r="D44" s="33"/>
      <c r="E44" s="33"/>
      <c r="F44" s="33" t="s">
        <v>23</v>
      </c>
      <c r="G44" s="43"/>
      <c r="H44" s="33"/>
      <c r="I44" s="33"/>
      <c r="J44" s="33" t="s">
        <v>25</v>
      </c>
      <c r="K44" s="15"/>
      <c r="L44" s="33"/>
      <c r="M44" s="33"/>
      <c r="N44" s="33"/>
      <c r="O44" s="33"/>
      <c r="P44" s="33"/>
      <c r="Q44" s="33"/>
      <c r="R44" s="33"/>
      <c r="S44" s="33" t="s">
        <v>26</v>
      </c>
      <c r="T44" s="33"/>
      <c r="U44" s="33"/>
    </row>
    <row r="45" spans="1:21" x14ac:dyDescent="0.25">
      <c r="A45" s="33"/>
      <c r="B45" s="33" t="s">
        <v>27</v>
      </c>
      <c r="C45" s="15"/>
      <c r="D45" s="33"/>
      <c r="E45" s="33"/>
      <c r="F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 t="s">
        <v>24</v>
      </c>
      <c r="T45" s="33"/>
      <c r="U45" s="33"/>
    </row>
    <row r="46" spans="1:21" x14ac:dyDescent="0.25">
      <c r="A46" s="33"/>
      <c r="B46" s="33" t="s">
        <v>28</v>
      </c>
      <c r="C46" s="19">
        <f>G6</f>
        <v>0</v>
      </c>
      <c r="D46" s="33"/>
      <c r="E46" s="33"/>
      <c r="F46" s="33" t="s">
        <v>29</v>
      </c>
      <c r="G46" s="1">
        <f>F62</f>
        <v>0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</row>
    <row r="47" spans="1:21" x14ac:dyDescent="0.25">
      <c r="A47" s="33"/>
      <c r="B47" s="33" t="s">
        <v>30</v>
      </c>
      <c r="C47" s="15"/>
      <c r="D47" s="33"/>
      <c r="E47" s="33"/>
      <c r="F47" s="33" t="s">
        <v>31</v>
      </c>
      <c r="G47" s="15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</row>
    <row r="48" spans="1:2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ht="15.75" x14ac:dyDescent="0.25">
      <c r="B51" s="51" t="s">
        <v>32</v>
      </c>
      <c r="C51" s="51"/>
      <c r="D51" s="51"/>
      <c r="E51" s="51"/>
      <c r="F51" s="51"/>
      <c r="G51" s="51"/>
      <c r="H51" s="51"/>
      <c r="I51" s="51"/>
      <c r="J51" s="51"/>
      <c r="K51" s="51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s="33" customFormat="1" x14ac:dyDescent="0.25"/>
    <row r="53" spans="1:21" s="33" customFormat="1" x14ac:dyDescent="0.25">
      <c r="C53" s="35" t="s">
        <v>33</v>
      </c>
      <c r="D53" s="35"/>
      <c r="E53" s="35"/>
      <c r="F53" s="35" t="s">
        <v>34</v>
      </c>
      <c r="G53" s="35" t="s">
        <v>35</v>
      </c>
      <c r="J53" s="35" t="s">
        <v>36</v>
      </c>
      <c r="K53" s="35" t="s">
        <v>37</v>
      </c>
    </row>
    <row r="54" spans="1:21" x14ac:dyDescent="0.25">
      <c r="B54" s="2" t="s">
        <v>38</v>
      </c>
      <c r="C54" s="15"/>
      <c r="F54" s="15"/>
      <c r="G54" s="15"/>
      <c r="J54" s="1" t="str">
        <f>IF(F54="","",F54-G54)</f>
        <v/>
      </c>
      <c r="K54" s="4" t="str">
        <f>IF(F54="","",G54/F54)</f>
        <v/>
      </c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1" x14ac:dyDescent="0.25">
      <c r="B55" s="2" t="s">
        <v>39</v>
      </c>
      <c r="C55" s="15"/>
      <c r="F55" s="15"/>
      <c r="G55" s="15"/>
      <c r="J55" s="1" t="str">
        <f t="shared" ref="J55:J61" si="0">IF(F55="","",F55-G55)</f>
        <v/>
      </c>
      <c r="K55" s="4" t="str">
        <f t="shared" ref="K55:K61" si="1">IF(F55="","",G55/F55)</f>
        <v/>
      </c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x14ac:dyDescent="0.25">
      <c r="B56" s="2" t="s">
        <v>40</v>
      </c>
      <c r="C56" s="15"/>
      <c r="F56" s="15"/>
      <c r="G56" s="15"/>
      <c r="J56" s="1" t="str">
        <f t="shared" si="0"/>
        <v/>
      </c>
      <c r="K56" s="4" t="str">
        <f t="shared" si="1"/>
        <v/>
      </c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1" x14ac:dyDescent="0.25">
      <c r="B57" s="2" t="s">
        <v>41</v>
      </c>
      <c r="C57" s="15"/>
      <c r="F57" s="15"/>
      <c r="G57" s="15"/>
      <c r="J57" s="1" t="str">
        <f t="shared" si="0"/>
        <v/>
      </c>
      <c r="K57" s="4" t="str">
        <f t="shared" si="1"/>
        <v/>
      </c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1:21" x14ac:dyDescent="0.25">
      <c r="B58" s="2" t="s">
        <v>42</v>
      </c>
      <c r="C58" s="15"/>
      <c r="F58" s="15"/>
      <c r="G58" s="15"/>
      <c r="J58" s="1" t="str">
        <f t="shared" si="0"/>
        <v/>
      </c>
      <c r="K58" s="4" t="str">
        <f t="shared" si="1"/>
        <v/>
      </c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 x14ac:dyDescent="0.25">
      <c r="B59" s="2" t="s">
        <v>43</v>
      </c>
      <c r="C59" s="15"/>
      <c r="F59" s="15"/>
      <c r="G59" s="15"/>
      <c r="J59" s="1" t="str">
        <f t="shared" si="0"/>
        <v/>
      </c>
      <c r="K59" s="4" t="str">
        <f t="shared" si="1"/>
        <v/>
      </c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1" x14ac:dyDescent="0.25">
      <c r="B60" s="2" t="s">
        <v>44</v>
      </c>
      <c r="C60" s="15"/>
      <c r="F60" s="15"/>
      <c r="G60" s="15"/>
      <c r="J60" s="1" t="str">
        <f t="shared" si="0"/>
        <v/>
      </c>
      <c r="K60" s="4" t="str">
        <f t="shared" si="1"/>
        <v/>
      </c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ht="15.75" thickBot="1" x14ac:dyDescent="0.3">
      <c r="B61" s="2" t="s">
        <v>45</v>
      </c>
      <c r="C61" s="29"/>
      <c r="F61" s="29"/>
      <c r="G61" s="29"/>
      <c r="J61" s="7" t="str">
        <f t="shared" si="0"/>
        <v/>
      </c>
      <c r="K61" s="8" t="str">
        <f t="shared" si="1"/>
        <v/>
      </c>
      <c r="L61" s="33"/>
      <c r="M61" s="33"/>
      <c r="N61" s="33"/>
      <c r="O61" s="33"/>
      <c r="P61" s="33"/>
      <c r="Q61" s="33"/>
      <c r="R61" s="33"/>
      <c r="S61" s="33"/>
      <c r="T61" s="33"/>
      <c r="U61" s="33"/>
    </row>
    <row r="62" spans="1:21" ht="15.75" thickTop="1" x14ac:dyDescent="0.25">
      <c r="B62" s="3" t="s">
        <v>46</v>
      </c>
      <c r="C62" s="5">
        <f>SUM(C54:C61)</f>
        <v>0</v>
      </c>
      <c r="F62" s="5">
        <f>SUM(F54:F61)</f>
        <v>0</v>
      </c>
      <c r="G62" s="5">
        <f>SUM(G54:G61)</f>
        <v>0</v>
      </c>
      <c r="J62" s="5">
        <f>SUM(J54:J61)</f>
        <v>0</v>
      </c>
      <c r="K62" s="6" t="str">
        <f>IFERROR(IF(F62="","",G62/F62),"")</f>
        <v/>
      </c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1" x14ac:dyDescent="0.25"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1" x14ac:dyDescent="0.25">
      <c r="B64" s="2" t="s">
        <v>47</v>
      </c>
      <c r="C64" s="15"/>
      <c r="L64" s="33"/>
      <c r="M64" s="33"/>
      <c r="N64" s="33"/>
      <c r="O64" s="33"/>
      <c r="P64" s="33"/>
      <c r="Q64" s="33"/>
      <c r="R64" s="33"/>
      <c r="S64" s="33"/>
      <c r="T64" s="33"/>
      <c r="U64" s="33"/>
    </row>
    <row r="65" spans="2:21" x14ac:dyDescent="0.25"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2:21" x14ac:dyDescent="0.25">
      <c r="L66" s="33"/>
      <c r="M66" s="33"/>
      <c r="N66" s="33"/>
      <c r="O66" s="33"/>
      <c r="P66" s="33"/>
      <c r="Q66" s="33"/>
      <c r="R66" s="33"/>
      <c r="S66" s="33"/>
      <c r="T66" s="33"/>
      <c r="U66" s="33"/>
    </row>
    <row r="67" spans="2:21" ht="15.75" x14ac:dyDescent="0.25">
      <c r="B67" s="52" t="s">
        <v>48</v>
      </c>
      <c r="C67" s="53"/>
      <c r="D67" s="53"/>
      <c r="E67" s="53"/>
      <c r="F67" s="53"/>
      <c r="G67" s="53"/>
      <c r="H67" s="54"/>
      <c r="I67" s="11"/>
      <c r="J67" s="11"/>
      <c r="K67" s="11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2:21" x14ac:dyDescent="0.25">
      <c r="L68" s="33"/>
      <c r="M68" s="33"/>
      <c r="N68" s="33"/>
      <c r="O68" s="33"/>
      <c r="P68" s="33"/>
      <c r="Q68" s="33"/>
      <c r="R68" s="33"/>
      <c r="S68" s="33"/>
      <c r="T68" s="33"/>
      <c r="U68" s="33"/>
    </row>
    <row r="69" spans="2:21" s="11" customFormat="1" x14ac:dyDescent="0.25">
      <c r="C69" s="26" t="s">
        <v>244</v>
      </c>
      <c r="F69" s="24" t="s">
        <v>243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2:21" x14ac:dyDescent="0.25">
      <c r="B70" t="s">
        <v>232</v>
      </c>
      <c r="C70" s="16"/>
      <c r="F70" s="15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 x14ac:dyDescent="0.25">
      <c r="B71" t="s">
        <v>233</v>
      </c>
      <c r="C71" s="16"/>
      <c r="F71" s="15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 x14ac:dyDescent="0.25">
      <c r="B72" t="s">
        <v>234</v>
      </c>
      <c r="C72" s="16"/>
      <c r="F72" s="15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 x14ac:dyDescent="0.25">
      <c r="B73" t="s">
        <v>235</v>
      </c>
      <c r="C73" s="16"/>
      <c r="F73" s="15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 x14ac:dyDescent="0.25">
      <c r="B74" t="s">
        <v>236</v>
      </c>
      <c r="C74" s="16"/>
      <c r="F74" s="15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 x14ac:dyDescent="0.25">
      <c r="B75" t="s">
        <v>237</v>
      </c>
      <c r="C75" s="16"/>
      <c r="F75" s="15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 x14ac:dyDescent="0.25">
      <c r="B76" t="s">
        <v>238</v>
      </c>
      <c r="C76" s="30"/>
      <c r="F76" s="15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 x14ac:dyDescent="0.25">
      <c r="B77" s="50" t="s">
        <v>375</v>
      </c>
      <c r="C77" s="50"/>
      <c r="D77" s="50"/>
      <c r="E77" s="50"/>
      <c r="F77" s="50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 x14ac:dyDescent="0.25">
      <c r="B78" t="s">
        <v>360</v>
      </c>
      <c r="C78" s="31"/>
      <c r="F78" s="15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 x14ac:dyDescent="0.25">
      <c r="B79" t="s">
        <v>361</v>
      </c>
      <c r="C79" s="16"/>
      <c r="F79" s="15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 x14ac:dyDescent="0.25">
      <c r="B80" s="50" t="s">
        <v>239</v>
      </c>
      <c r="C80" s="50"/>
      <c r="D80" s="50"/>
      <c r="E80" s="50"/>
      <c r="F80" s="50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 x14ac:dyDescent="0.25">
      <c r="B81" t="s">
        <v>362</v>
      </c>
      <c r="C81" s="16"/>
      <c r="F81" s="15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 x14ac:dyDescent="0.25">
      <c r="B82" t="s">
        <v>363</v>
      </c>
      <c r="C82" s="16"/>
      <c r="F82" s="15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 x14ac:dyDescent="0.25">
      <c r="B83" s="50" t="s">
        <v>240</v>
      </c>
      <c r="C83" s="50"/>
      <c r="D83" s="50"/>
      <c r="E83" s="50"/>
      <c r="F83" s="50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 x14ac:dyDescent="0.25">
      <c r="B84" t="s">
        <v>364</v>
      </c>
      <c r="C84" s="16"/>
      <c r="F84" s="15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 x14ac:dyDescent="0.25">
      <c r="B85" t="s">
        <v>365</v>
      </c>
      <c r="C85" s="16"/>
      <c r="F85" s="15"/>
      <c r="L85" s="33"/>
      <c r="M85" s="33"/>
      <c r="N85" s="33"/>
      <c r="O85" s="33"/>
      <c r="P85" s="33"/>
      <c r="Q85" s="33"/>
      <c r="R85" s="33"/>
      <c r="S85" s="33"/>
      <c r="T85" s="33"/>
      <c r="U85" s="33"/>
    </row>
    <row r="86" spans="2:21" x14ac:dyDescent="0.25">
      <c r="B86" t="s">
        <v>366</v>
      </c>
      <c r="C86" s="16"/>
      <c r="F86" s="15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 spans="2:21" x14ac:dyDescent="0.25">
      <c r="B87" s="50" t="s">
        <v>241</v>
      </c>
      <c r="C87" s="50"/>
      <c r="D87" s="50"/>
      <c r="E87" s="50"/>
      <c r="F87" s="50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2:21" x14ac:dyDescent="0.25">
      <c r="B88" t="str">
        <f>IF(K6="Homeownership","14. Homes Listed in MLS","14. Lease Up Begins")</f>
        <v>14. Lease Up Begins</v>
      </c>
      <c r="C88" s="16"/>
      <c r="F88" s="15"/>
      <c r="L88" s="33"/>
      <c r="M88" s="33"/>
      <c r="N88" s="33"/>
      <c r="O88" s="33"/>
      <c r="P88" s="33"/>
      <c r="Q88" s="33"/>
      <c r="R88" s="33"/>
      <c r="S88" s="33"/>
      <c r="T88" s="33"/>
      <c r="U88" s="33"/>
    </row>
    <row r="89" spans="2:21" x14ac:dyDescent="0.25">
      <c r="B89" t="str">
        <f>IF(K6="Homeownership","15. Last Home Sold","15. Lease Up Completed")</f>
        <v>15. Lease Up Completed</v>
      </c>
      <c r="C89" s="16"/>
      <c r="F89" s="15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 spans="2:21" x14ac:dyDescent="0.25"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2:21" x14ac:dyDescent="0.25">
      <c r="B91" s="3" t="s">
        <v>242</v>
      </c>
      <c r="C91" s="16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2:21" x14ac:dyDescent="0.25">
      <c r="L92" s="33"/>
      <c r="M92" s="33"/>
      <c r="N92" s="33"/>
      <c r="O92" s="33"/>
      <c r="P92" s="33"/>
      <c r="Q92" s="33"/>
      <c r="R92" s="33"/>
      <c r="S92" s="33"/>
      <c r="T92" s="33"/>
      <c r="U92" s="33"/>
    </row>
    <row r="93" spans="2:21" x14ac:dyDescent="0.25"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2:21" x14ac:dyDescent="0.25">
      <c r="L94" s="33"/>
      <c r="M94" s="33"/>
      <c r="N94" s="33"/>
      <c r="O94" s="33"/>
      <c r="P94" s="33"/>
      <c r="Q94" s="33"/>
      <c r="R94" s="33"/>
      <c r="S94" s="33"/>
      <c r="T94" s="33"/>
      <c r="U94" s="33"/>
    </row>
    <row r="95" spans="2:21" x14ac:dyDescent="0.25"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2:21" x14ac:dyDescent="0.25"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12:21" x14ac:dyDescent="0.25"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12:21" x14ac:dyDescent="0.25">
      <c r="L98" s="33"/>
      <c r="M98" s="33"/>
      <c r="N98" s="33"/>
      <c r="O98" s="33"/>
      <c r="P98" s="33"/>
      <c r="Q98" s="33"/>
      <c r="R98" s="33"/>
      <c r="S98" s="33"/>
      <c r="T98" s="33"/>
      <c r="U98" s="33"/>
    </row>
  </sheetData>
  <sheetProtection algorithmName="SHA-512" hashValue="gv9rhal/30DxheSpl/9yVCxZqcQM2YGi8pAH6oN2QeE3w/c6/VGbSTMwoI1SrwzyzTdUMT4AYlADPpxbxUIF5w==" saltValue="eqxSpHHKJzAHqD3Zgh2FvQ==" spinCount="100000" sheet="1" objects="1" scenarios="1" formatColumns="0" formatRows="0"/>
  <mergeCells count="9">
    <mergeCell ref="C1:K1"/>
    <mergeCell ref="B77:F77"/>
    <mergeCell ref="B80:F80"/>
    <mergeCell ref="B83:F83"/>
    <mergeCell ref="B87:F87"/>
    <mergeCell ref="B18:K18"/>
    <mergeCell ref="B51:K51"/>
    <mergeCell ref="B42:K42"/>
    <mergeCell ref="B67:H67"/>
  </mergeCells>
  <dataValidations count="6">
    <dataValidation type="list" allowBlank="1" showInputMessage="1" showErrorMessage="1" sqref="K6" xr:uid="{722327EA-1EAE-4EE9-8282-A7C54A3C70FE}">
      <formula1>"Homeownership,Rental Housing"</formula1>
    </dataValidation>
    <dataValidation type="list" allowBlank="1" showInputMessage="1" showErrorMessage="1" sqref="G44" xr:uid="{DC26DC57-2CA5-4C80-ACAA-62DF9BF095DF}">
      <formula1>$S$44:$S$45</formula1>
    </dataValidation>
    <dataValidation type="whole" allowBlank="1" showInputMessage="1" showErrorMessage="1" sqref="K8" xr:uid="{40196210-9152-469B-9C7E-A9A21E29F956}">
      <formula1>10000</formula1>
      <formula2>99999</formula2>
    </dataValidation>
    <dataValidation type="whole" operator="lessThan" allowBlank="1" showInputMessage="1" showErrorMessage="1" sqref="K10" xr:uid="{82B6479F-2E0C-4CAB-B689-8445EC771922}">
      <formula1>10</formula1>
    </dataValidation>
    <dataValidation type="list" errorStyle="warning" showInputMessage="1" showErrorMessage="1" errorTitle="SmartDox" error="The value you entered for the dropdown is not valid." sqref="G6" xr:uid="{42D09133-7439-44EF-ACFE-3C2B6B59F9FD}">
      <formula1>SD_D_PL_Jurisdiction_Name</formula1>
    </dataValidation>
    <dataValidation type="list" allowBlank="1" showInputMessage="1" showErrorMessage="1" sqref="K29 G29 C40 G40" xr:uid="{7BFF9C14-08B4-48C1-8318-A25A480F6A29}">
      <formula1>"Yes,No"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858D98-CE92-4B95-9170-88FA90848FA6}">
          <x14:formula1>
            <xm:f>'Data Sources'!$E$2:$E$52</xm:f>
          </x14:formula1>
          <xm:sqref>C23 G23 K23 C34 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BDEA-9A47-4D76-B909-F35625640234}">
  <dimension ref="C2:V54"/>
  <sheetViews>
    <sheetView workbookViewId="0"/>
  </sheetViews>
  <sheetFormatPr defaultRowHeight="15" x14ac:dyDescent="0.25"/>
  <sheetData>
    <row r="2" spans="3:22" x14ac:dyDescent="0.25">
      <c r="C2" s="18" t="s">
        <v>75</v>
      </c>
      <c r="D2">
        <v>1</v>
      </c>
      <c r="E2" s="18" t="s">
        <v>181</v>
      </c>
      <c r="F2">
        <v>4</v>
      </c>
      <c r="G2" s="18" t="s">
        <v>158</v>
      </c>
      <c r="H2">
        <v>1</v>
      </c>
      <c r="I2" s="18" t="s">
        <v>152</v>
      </c>
      <c r="J2">
        <v>1</v>
      </c>
      <c r="K2" s="18" t="s">
        <v>148</v>
      </c>
      <c r="L2">
        <v>4</v>
      </c>
      <c r="M2" s="18" t="s">
        <v>128</v>
      </c>
      <c r="N2">
        <v>15</v>
      </c>
      <c r="O2" s="18" t="s">
        <v>172</v>
      </c>
      <c r="P2">
        <v>6</v>
      </c>
      <c r="Q2" s="18" t="s">
        <v>254</v>
      </c>
      <c r="R2">
        <v>1</v>
      </c>
      <c r="S2" s="18" t="s">
        <v>255</v>
      </c>
      <c r="T2">
        <v>1</v>
      </c>
      <c r="U2" s="18" t="s">
        <v>306</v>
      </c>
      <c r="V2">
        <v>37</v>
      </c>
    </row>
    <row r="3" spans="3:22" x14ac:dyDescent="0.25">
      <c r="C3" s="18" t="s">
        <v>76</v>
      </c>
      <c r="D3">
        <v>2</v>
      </c>
      <c r="E3" s="18" t="s">
        <v>182</v>
      </c>
      <c r="F3">
        <v>11</v>
      </c>
      <c r="G3" s="18" t="s">
        <v>159</v>
      </c>
      <c r="H3">
        <v>10</v>
      </c>
      <c r="I3" s="18" t="s">
        <v>153</v>
      </c>
      <c r="J3">
        <v>2</v>
      </c>
      <c r="K3" s="18" t="s">
        <v>149</v>
      </c>
      <c r="L3">
        <v>5</v>
      </c>
      <c r="M3" s="18" t="s">
        <v>129</v>
      </c>
      <c r="N3">
        <v>17</v>
      </c>
      <c r="O3" s="18" t="s">
        <v>253</v>
      </c>
      <c r="P3">
        <v>7</v>
      </c>
      <c r="Q3" s="18" t="s">
        <v>174</v>
      </c>
      <c r="R3">
        <v>2</v>
      </c>
      <c r="S3" s="18" t="s">
        <v>256</v>
      </c>
      <c r="T3">
        <v>2</v>
      </c>
      <c r="U3" s="18" t="s">
        <v>307</v>
      </c>
      <c r="V3">
        <v>48</v>
      </c>
    </row>
    <row r="4" spans="3:22" x14ac:dyDescent="0.25">
      <c r="C4" s="18" t="s">
        <v>77</v>
      </c>
      <c r="D4">
        <v>3</v>
      </c>
      <c r="E4" s="18" t="s">
        <v>183</v>
      </c>
      <c r="F4">
        <v>21</v>
      </c>
      <c r="G4" s="18" t="s">
        <v>160</v>
      </c>
      <c r="H4">
        <v>6</v>
      </c>
      <c r="I4" s="18" t="s">
        <v>154</v>
      </c>
      <c r="J4">
        <v>3</v>
      </c>
      <c r="K4" s="18" t="s">
        <v>150</v>
      </c>
      <c r="L4">
        <v>6</v>
      </c>
      <c r="M4" s="18" t="s">
        <v>130</v>
      </c>
      <c r="N4">
        <v>16</v>
      </c>
      <c r="O4" s="18" t="s">
        <v>173</v>
      </c>
      <c r="P4">
        <v>5</v>
      </c>
      <c r="S4" s="18" t="s">
        <v>257</v>
      </c>
      <c r="T4">
        <v>3</v>
      </c>
      <c r="U4" s="18" t="s">
        <v>308</v>
      </c>
      <c r="V4">
        <v>-1</v>
      </c>
    </row>
    <row r="5" spans="3:22" x14ac:dyDescent="0.25">
      <c r="C5" s="18" t="s">
        <v>78</v>
      </c>
      <c r="D5">
        <v>4</v>
      </c>
      <c r="E5" s="18" t="s">
        <v>184</v>
      </c>
      <c r="F5">
        <v>48</v>
      </c>
      <c r="G5" s="18" t="s">
        <v>161</v>
      </c>
      <c r="H5">
        <v>7</v>
      </c>
      <c r="I5" s="18" t="s">
        <v>155</v>
      </c>
      <c r="J5">
        <v>4</v>
      </c>
      <c r="M5" s="18" t="s">
        <v>131</v>
      </c>
      <c r="N5">
        <v>1</v>
      </c>
      <c r="O5" s="18" t="s">
        <v>174</v>
      </c>
      <c r="P5">
        <v>1</v>
      </c>
      <c r="S5" s="18" t="s">
        <v>258</v>
      </c>
      <c r="T5">
        <v>4</v>
      </c>
      <c r="U5" s="18" t="s">
        <v>309</v>
      </c>
      <c r="V5">
        <v>56</v>
      </c>
    </row>
    <row r="6" spans="3:22" x14ac:dyDescent="0.25">
      <c r="C6" s="18" t="s">
        <v>79</v>
      </c>
      <c r="D6">
        <v>5</v>
      </c>
      <c r="E6" s="18" t="s">
        <v>185</v>
      </c>
      <c r="F6">
        <v>52</v>
      </c>
      <c r="G6" s="18" t="s">
        <v>162</v>
      </c>
      <c r="H6">
        <v>2</v>
      </c>
      <c r="I6" s="18" t="s">
        <v>156</v>
      </c>
      <c r="J6">
        <v>5</v>
      </c>
      <c r="M6" s="18" t="s">
        <v>132</v>
      </c>
      <c r="N6">
        <v>2</v>
      </c>
      <c r="O6" s="18" t="s">
        <v>175</v>
      </c>
      <c r="P6">
        <v>2</v>
      </c>
      <c r="S6" s="18" t="s">
        <v>259</v>
      </c>
      <c r="T6">
        <v>5</v>
      </c>
      <c r="U6" s="18" t="s">
        <v>310</v>
      </c>
      <c r="V6">
        <v>26</v>
      </c>
    </row>
    <row r="7" spans="3:22" x14ac:dyDescent="0.25">
      <c r="C7" s="18" t="s">
        <v>80</v>
      </c>
      <c r="D7">
        <v>6</v>
      </c>
      <c r="E7" s="18" t="s">
        <v>186</v>
      </c>
      <c r="F7">
        <v>53</v>
      </c>
      <c r="G7" s="18" t="s">
        <v>163</v>
      </c>
      <c r="H7">
        <v>8</v>
      </c>
      <c r="M7" s="18" t="s">
        <v>133</v>
      </c>
      <c r="N7">
        <v>3</v>
      </c>
      <c r="O7" s="18" t="s">
        <v>176</v>
      </c>
      <c r="P7">
        <v>3</v>
      </c>
      <c r="S7" s="18" t="s">
        <v>260</v>
      </c>
      <c r="T7">
        <v>6</v>
      </c>
      <c r="U7" s="18" t="s">
        <v>311</v>
      </c>
      <c r="V7">
        <v>29</v>
      </c>
    </row>
    <row r="8" spans="3:22" x14ac:dyDescent="0.25">
      <c r="C8" s="18" t="s">
        <v>81</v>
      </c>
      <c r="D8">
        <v>7</v>
      </c>
      <c r="E8" s="18" t="s">
        <v>187</v>
      </c>
      <c r="F8">
        <v>66</v>
      </c>
      <c r="G8" s="18" t="s">
        <v>164</v>
      </c>
      <c r="H8">
        <v>9</v>
      </c>
      <c r="M8" s="18" t="s">
        <v>134</v>
      </c>
      <c r="N8">
        <v>4</v>
      </c>
      <c r="O8" s="18" t="s">
        <v>177</v>
      </c>
      <c r="P8">
        <v>4</v>
      </c>
      <c r="S8" s="18" t="s">
        <v>261</v>
      </c>
      <c r="T8">
        <v>7</v>
      </c>
      <c r="U8" s="18" t="s">
        <v>312</v>
      </c>
      <c r="V8">
        <v>43</v>
      </c>
    </row>
    <row r="9" spans="3:22" x14ac:dyDescent="0.25">
      <c r="C9" s="18" t="s">
        <v>82</v>
      </c>
      <c r="D9">
        <v>8</v>
      </c>
      <c r="E9" s="18" t="s">
        <v>188</v>
      </c>
      <c r="F9">
        <v>74</v>
      </c>
      <c r="G9" s="18" t="s">
        <v>165</v>
      </c>
      <c r="H9">
        <v>3</v>
      </c>
      <c r="M9" s="18" t="s">
        <v>135</v>
      </c>
      <c r="N9">
        <v>5</v>
      </c>
      <c r="S9" s="18" t="s">
        <v>262</v>
      </c>
      <c r="T9">
        <v>8</v>
      </c>
      <c r="U9" s="18" t="s">
        <v>313</v>
      </c>
      <c r="V9">
        <v>41</v>
      </c>
    </row>
    <row r="10" spans="3:22" x14ac:dyDescent="0.25">
      <c r="C10" s="18" t="s">
        <v>83</v>
      </c>
      <c r="D10">
        <v>9</v>
      </c>
      <c r="E10" s="18" t="s">
        <v>189</v>
      </c>
      <c r="F10">
        <v>75</v>
      </c>
      <c r="G10" s="18" t="s">
        <v>166</v>
      </c>
      <c r="H10">
        <v>4</v>
      </c>
      <c r="M10" s="18" t="s">
        <v>136</v>
      </c>
      <c r="N10">
        <v>6</v>
      </c>
      <c r="S10" s="18" t="s">
        <v>263</v>
      </c>
      <c r="T10">
        <v>9</v>
      </c>
      <c r="U10" s="18" t="s">
        <v>314</v>
      </c>
      <c r="V10">
        <v>25</v>
      </c>
    </row>
    <row r="11" spans="3:22" x14ac:dyDescent="0.25">
      <c r="C11" s="18" t="s">
        <v>84</v>
      </c>
      <c r="D11">
        <v>10</v>
      </c>
      <c r="E11" s="18" t="s">
        <v>190</v>
      </c>
      <c r="F11">
        <v>80</v>
      </c>
      <c r="G11" s="18" t="s">
        <v>167</v>
      </c>
      <c r="H11">
        <v>5</v>
      </c>
      <c r="M11" s="18" t="s">
        <v>137</v>
      </c>
      <c r="N11">
        <v>7</v>
      </c>
      <c r="S11" s="18" t="s">
        <v>264</v>
      </c>
      <c r="T11">
        <v>10</v>
      </c>
      <c r="U11" s="18" t="s">
        <v>315</v>
      </c>
      <c r="V11">
        <v>59</v>
      </c>
    </row>
    <row r="12" spans="3:22" x14ac:dyDescent="0.25">
      <c r="C12" s="18" t="s">
        <v>85</v>
      </c>
      <c r="D12">
        <v>11</v>
      </c>
      <c r="E12" s="18" t="s">
        <v>191</v>
      </c>
      <c r="F12">
        <v>82</v>
      </c>
      <c r="M12" s="18" t="s">
        <v>138</v>
      </c>
      <c r="N12">
        <v>8</v>
      </c>
      <c r="S12" s="18" t="s">
        <v>265</v>
      </c>
      <c r="T12">
        <v>11</v>
      </c>
      <c r="U12" s="18" t="s">
        <v>316</v>
      </c>
      <c r="V12">
        <v>35</v>
      </c>
    </row>
    <row r="13" spans="3:22" x14ac:dyDescent="0.25">
      <c r="C13" s="18" t="s">
        <v>86</v>
      </c>
      <c r="D13">
        <v>12</v>
      </c>
      <c r="E13" s="18" t="s">
        <v>192</v>
      </c>
      <c r="F13">
        <v>103</v>
      </c>
      <c r="M13" s="18" t="s">
        <v>139</v>
      </c>
      <c r="N13">
        <v>9</v>
      </c>
      <c r="S13" s="18" t="s">
        <v>266</v>
      </c>
      <c r="T13">
        <v>12</v>
      </c>
      <c r="U13" s="18" t="s">
        <v>317</v>
      </c>
      <c r="V13">
        <v>57</v>
      </c>
    </row>
    <row r="14" spans="3:22" x14ac:dyDescent="0.25">
      <c r="C14" s="18" t="s">
        <v>87</v>
      </c>
      <c r="D14">
        <v>13</v>
      </c>
      <c r="E14" s="18" t="s">
        <v>193</v>
      </c>
      <c r="F14">
        <v>113</v>
      </c>
      <c r="M14" s="18" t="s">
        <v>140</v>
      </c>
      <c r="N14">
        <v>10</v>
      </c>
      <c r="S14" s="18" t="s">
        <v>267</v>
      </c>
      <c r="T14">
        <v>13</v>
      </c>
      <c r="U14" s="18" t="s">
        <v>318</v>
      </c>
      <c r="V14">
        <v>55</v>
      </c>
    </row>
    <row r="15" spans="3:22" x14ac:dyDescent="0.25">
      <c r="C15" s="18" t="s">
        <v>88</v>
      </c>
      <c r="D15">
        <v>14</v>
      </c>
      <c r="E15" s="18" t="s">
        <v>194</v>
      </c>
      <c r="F15">
        <v>121</v>
      </c>
      <c r="M15" s="18" t="s">
        <v>141</v>
      </c>
      <c r="N15">
        <v>11</v>
      </c>
      <c r="S15" s="18" t="s">
        <v>268</v>
      </c>
      <c r="T15">
        <v>14</v>
      </c>
      <c r="U15" s="18" t="s">
        <v>319</v>
      </c>
      <c r="V15">
        <v>39</v>
      </c>
    </row>
    <row r="16" spans="3:22" x14ac:dyDescent="0.25">
      <c r="C16" s="18" t="s">
        <v>89</v>
      </c>
      <c r="D16">
        <v>15</v>
      </c>
      <c r="E16" s="18" t="s">
        <v>195</v>
      </c>
      <c r="F16">
        <v>128</v>
      </c>
      <c r="M16" s="18" t="s">
        <v>142</v>
      </c>
      <c r="N16">
        <v>12</v>
      </c>
      <c r="S16" s="18" t="s">
        <v>269</v>
      </c>
      <c r="T16">
        <v>15</v>
      </c>
      <c r="U16" s="18" t="s">
        <v>320</v>
      </c>
      <c r="V16">
        <v>27</v>
      </c>
    </row>
    <row r="17" spans="3:22" x14ac:dyDescent="0.25">
      <c r="C17" s="18" t="s">
        <v>90</v>
      </c>
      <c r="D17">
        <v>16</v>
      </c>
      <c r="E17" s="18" t="s">
        <v>196</v>
      </c>
      <c r="F17">
        <v>130</v>
      </c>
      <c r="M17" s="18" t="s">
        <v>143</v>
      </c>
      <c r="N17">
        <v>13</v>
      </c>
      <c r="S17" s="18" t="s">
        <v>270</v>
      </c>
      <c r="T17">
        <v>16</v>
      </c>
      <c r="U17" s="18" t="s">
        <v>321</v>
      </c>
      <c r="V17">
        <v>45</v>
      </c>
    </row>
    <row r="18" spans="3:22" x14ac:dyDescent="0.25">
      <c r="C18" s="18" t="s">
        <v>91</v>
      </c>
      <c r="D18">
        <v>17</v>
      </c>
      <c r="E18" s="18" t="s">
        <v>197</v>
      </c>
      <c r="F18">
        <v>132</v>
      </c>
      <c r="M18" s="18" t="s">
        <v>144</v>
      </c>
      <c r="N18">
        <v>14</v>
      </c>
      <c r="S18" s="18" t="s">
        <v>271</v>
      </c>
      <c r="T18">
        <v>17</v>
      </c>
      <c r="U18" s="18" t="s">
        <v>322</v>
      </c>
      <c r="V18">
        <v>52</v>
      </c>
    </row>
    <row r="19" spans="3:22" x14ac:dyDescent="0.25">
      <c r="C19" s="18" t="s">
        <v>92</v>
      </c>
      <c r="D19">
        <v>18</v>
      </c>
      <c r="E19" s="18" t="s">
        <v>198</v>
      </c>
      <c r="F19">
        <v>144</v>
      </c>
      <c r="S19" s="18" t="s">
        <v>272</v>
      </c>
      <c r="T19">
        <v>18</v>
      </c>
      <c r="U19" s="18" t="s">
        <v>323</v>
      </c>
      <c r="V19">
        <v>30</v>
      </c>
    </row>
    <row r="20" spans="3:22" x14ac:dyDescent="0.25">
      <c r="C20" s="18" t="s">
        <v>93</v>
      </c>
      <c r="D20">
        <v>19</v>
      </c>
      <c r="E20" s="18" t="s">
        <v>199</v>
      </c>
      <c r="F20">
        <v>150</v>
      </c>
      <c r="S20" s="18" t="s">
        <v>273</v>
      </c>
      <c r="T20">
        <v>19</v>
      </c>
      <c r="U20" s="18" t="s">
        <v>324</v>
      </c>
      <c r="V20">
        <v>42</v>
      </c>
    </row>
    <row r="21" spans="3:22" x14ac:dyDescent="0.25">
      <c r="C21" s="18" t="s">
        <v>94</v>
      </c>
      <c r="D21">
        <v>20</v>
      </c>
      <c r="E21" s="18" t="s">
        <v>200</v>
      </c>
      <c r="F21">
        <v>227</v>
      </c>
      <c r="S21" s="18" t="s">
        <v>274</v>
      </c>
      <c r="T21">
        <v>20</v>
      </c>
      <c r="U21" s="18" t="s">
        <v>325</v>
      </c>
      <c r="V21">
        <v>54</v>
      </c>
    </row>
    <row r="22" spans="3:22" x14ac:dyDescent="0.25">
      <c r="C22" s="18" t="s">
        <v>95</v>
      </c>
      <c r="D22">
        <v>21</v>
      </c>
      <c r="E22" s="18" t="s">
        <v>201</v>
      </c>
      <c r="F22">
        <v>230</v>
      </c>
      <c r="S22" s="18" t="s">
        <v>275</v>
      </c>
      <c r="T22">
        <v>21</v>
      </c>
      <c r="U22" s="18" t="s">
        <v>326</v>
      </c>
      <c r="V22">
        <v>58</v>
      </c>
    </row>
    <row r="23" spans="3:22" x14ac:dyDescent="0.25">
      <c r="C23" s="18" t="s">
        <v>96</v>
      </c>
      <c r="D23">
        <v>22</v>
      </c>
      <c r="E23" s="18" t="s">
        <v>202</v>
      </c>
      <c r="F23">
        <v>231</v>
      </c>
      <c r="S23" s="18" t="s">
        <v>276</v>
      </c>
      <c r="T23">
        <v>22</v>
      </c>
      <c r="U23" s="18" t="s">
        <v>327</v>
      </c>
      <c r="V23">
        <v>36</v>
      </c>
    </row>
    <row r="24" spans="3:22" x14ac:dyDescent="0.25">
      <c r="C24" s="18" t="s">
        <v>97</v>
      </c>
      <c r="D24">
        <v>23</v>
      </c>
      <c r="E24" s="18" t="s">
        <v>203</v>
      </c>
      <c r="F24">
        <v>232</v>
      </c>
      <c r="S24" s="18" t="s">
        <v>277</v>
      </c>
      <c r="T24">
        <v>23</v>
      </c>
      <c r="U24" s="18" t="s">
        <v>19</v>
      </c>
      <c r="V24">
        <v>9</v>
      </c>
    </row>
    <row r="25" spans="3:22" x14ac:dyDescent="0.25">
      <c r="C25" s="18" t="s">
        <v>98</v>
      </c>
      <c r="D25">
        <v>24</v>
      </c>
      <c r="E25" s="18" t="s">
        <v>204</v>
      </c>
      <c r="F25">
        <v>233</v>
      </c>
      <c r="S25" s="18" t="s">
        <v>278</v>
      </c>
      <c r="T25">
        <v>24</v>
      </c>
      <c r="U25" s="18" t="s">
        <v>328</v>
      </c>
      <c r="V25">
        <v>31</v>
      </c>
    </row>
    <row r="26" spans="3:22" x14ac:dyDescent="0.25">
      <c r="C26" s="18" t="s">
        <v>99</v>
      </c>
      <c r="D26">
        <v>25</v>
      </c>
      <c r="E26" s="18" t="s">
        <v>205</v>
      </c>
      <c r="F26">
        <v>234</v>
      </c>
      <c r="S26" s="18" t="s">
        <v>279</v>
      </c>
      <c r="T26">
        <v>25</v>
      </c>
      <c r="U26" s="18" t="s">
        <v>329</v>
      </c>
      <c r="V26">
        <v>24</v>
      </c>
    </row>
    <row r="27" spans="3:22" x14ac:dyDescent="0.25">
      <c r="C27" s="18" t="s">
        <v>100</v>
      </c>
      <c r="D27">
        <v>26</v>
      </c>
      <c r="E27" s="18" t="s">
        <v>206</v>
      </c>
      <c r="F27">
        <v>235</v>
      </c>
      <c r="S27" s="18" t="s">
        <v>280</v>
      </c>
      <c r="T27">
        <v>26</v>
      </c>
      <c r="U27" s="18" t="s">
        <v>330</v>
      </c>
      <c r="V27">
        <v>23</v>
      </c>
    </row>
    <row r="28" spans="3:22" x14ac:dyDescent="0.25">
      <c r="C28" s="18" t="s">
        <v>101</v>
      </c>
      <c r="D28">
        <v>27</v>
      </c>
      <c r="E28" s="18" t="s">
        <v>207</v>
      </c>
      <c r="F28">
        <v>236</v>
      </c>
      <c r="S28" s="18" t="s">
        <v>281</v>
      </c>
      <c r="T28">
        <v>27</v>
      </c>
      <c r="U28" s="18" t="s">
        <v>331</v>
      </c>
      <c r="V28">
        <v>1</v>
      </c>
    </row>
    <row r="29" spans="3:22" x14ac:dyDescent="0.25">
      <c r="C29" s="18" t="s">
        <v>102</v>
      </c>
      <c r="D29">
        <v>28</v>
      </c>
      <c r="E29" s="18" t="s">
        <v>208</v>
      </c>
      <c r="F29">
        <v>237</v>
      </c>
      <c r="S29" s="18" t="s">
        <v>282</v>
      </c>
      <c r="T29">
        <v>28</v>
      </c>
      <c r="U29" s="18" t="s">
        <v>332</v>
      </c>
      <c r="V29">
        <v>14</v>
      </c>
    </row>
    <row r="30" spans="3:22" x14ac:dyDescent="0.25">
      <c r="C30" s="18" t="s">
        <v>103</v>
      </c>
      <c r="D30">
        <v>29</v>
      </c>
      <c r="E30" s="18" t="s">
        <v>209</v>
      </c>
      <c r="F30">
        <v>238</v>
      </c>
      <c r="S30" s="18" t="s">
        <v>283</v>
      </c>
      <c r="T30">
        <v>29</v>
      </c>
      <c r="U30" s="18" t="s">
        <v>333</v>
      </c>
      <c r="V30">
        <v>16</v>
      </c>
    </row>
    <row r="31" spans="3:22" x14ac:dyDescent="0.25">
      <c r="C31" s="18" t="s">
        <v>104</v>
      </c>
      <c r="D31">
        <v>30</v>
      </c>
      <c r="E31" s="18" t="s">
        <v>210</v>
      </c>
      <c r="F31">
        <v>239</v>
      </c>
      <c r="S31" s="18" t="s">
        <v>284</v>
      </c>
      <c r="T31">
        <v>30</v>
      </c>
      <c r="U31" s="18" t="s">
        <v>334</v>
      </c>
      <c r="V31">
        <v>11</v>
      </c>
    </row>
    <row r="32" spans="3:22" x14ac:dyDescent="0.25">
      <c r="C32" s="18" t="s">
        <v>105</v>
      </c>
      <c r="D32">
        <v>31</v>
      </c>
      <c r="E32" s="18" t="s">
        <v>211</v>
      </c>
      <c r="F32">
        <v>240</v>
      </c>
      <c r="S32" s="18" t="s">
        <v>285</v>
      </c>
      <c r="T32">
        <v>31</v>
      </c>
      <c r="U32" s="18" t="s">
        <v>335</v>
      </c>
      <c r="V32">
        <v>40</v>
      </c>
    </row>
    <row r="33" spans="3:22" x14ac:dyDescent="0.25">
      <c r="C33" s="18" t="s">
        <v>106</v>
      </c>
      <c r="D33">
        <v>32</v>
      </c>
      <c r="E33" s="18" t="s">
        <v>212</v>
      </c>
      <c r="F33">
        <v>241</v>
      </c>
      <c r="S33" s="18" t="s">
        <v>286</v>
      </c>
      <c r="T33">
        <v>32</v>
      </c>
      <c r="U33" s="18" t="s">
        <v>336</v>
      </c>
      <c r="V33">
        <v>32</v>
      </c>
    </row>
    <row r="34" spans="3:22" x14ac:dyDescent="0.25">
      <c r="C34" s="18" t="s">
        <v>107</v>
      </c>
      <c r="D34">
        <v>33</v>
      </c>
      <c r="E34" s="18" t="s">
        <v>213</v>
      </c>
      <c r="F34">
        <v>242</v>
      </c>
      <c r="S34" s="18" t="s">
        <v>287</v>
      </c>
      <c r="T34">
        <v>33</v>
      </c>
      <c r="U34" s="18" t="s">
        <v>337</v>
      </c>
      <c r="V34">
        <v>34</v>
      </c>
    </row>
    <row r="35" spans="3:22" x14ac:dyDescent="0.25">
      <c r="C35" s="18" t="s">
        <v>108</v>
      </c>
      <c r="D35">
        <v>34</v>
      </c>
      <c r="E35" s="18" t="s">
        <v>214</v>
      </c>
      <c r="F35">
        <v>243</v>
      </c>
      <c r="S35" s="18" t="s">
        <v>288</v>
      </c>
      <c r="T35">
        <v>34</v>
      </c>
      <c r="U35" s="18" t="s">
        <v>338</v>
      </c>
      <c r="V35">
        <v>33</v>
      </c>
    </row>
    <row r="36" spans="3:22" x14ac:dyDescent="0.25">
      <c r="C36" s="18" t="s">
        <v>109</v>
      </c>
      <c r="D36">
        <v>35</v>
      </c>
      <c r="E36" s="18" t="s">
        <v>215</v>
      </c>
      <c r="F36">
        <v>244</v>
      </c>
      <c r="S36" s="18" t="s">
        <v>289</v>
      </c>
      <c r="T36">
        <v>35</v>
      </c>
      <c r="U36" s="18" t="s">
        <v>339</v>
      </c>
      <c r="V36">
        <v>38</v>
      </c>
    </row>
    <row r="37" spans="3:22" x14ac:dyDescent="0.25">
      <c r="C37" s="18" t="s">
        <v>110</v>
      </c>
      <c r="D37">
        <v>36</v>
      </c>
      <c r="E37" s="18" t="s">
        <v>216</v>
      </c>
      <c r="F37">
        <v>245</v>
      </c>
      <c r="S37" s="18" t="s">
        <v>290</v>
      </c>
      <c r="T37">
        <v>36</v>
      </c>
      <c r="U37" s="18" t="s">
        <v>340</v>
      </c>
      <c r="V37">
        <v>15</v>
      </c>
    </row>
    <row r="38" spans="3:22" x14ac:dyDescent="0.25">
      <c r="E38" s="18" t="s">
        <v>217</v>
      </c>
      <c r="F38">
        <v>246</v>
      </c>
      <c r="S38" s="18" t="s">
        <v>291</v>
      </c>
      <c r="T38">
        <v>37</v>
      </c>
      <c r="U38" s="18" t="s">
        <v>341</v>
      </c>
      <c r="V38">
        <v>46</v>
      </c>
    </row>
    <row r="39" spans="3:22" x14ac:dyDescent="0.25">
      <c r="E39" s="18" t="s">
        <v>218</v>
      </c>
      <c r="F39">
        <v>248</v>
      </c>
      <c r="S39" s="18" t="s">
        <v>292</v>
      </c>
      <c r="T39">
        <v>38</v>
      </c>
      <c r="U39" s="18" t="s">
        <v>342</v>
      </c>
      <c r="V39">
        <v>44</v>
      </c>
    </row>
    <row r="40" spans="3:22" x14ac:dyDescent="0.25">
      <c r="E40" s="18" t="s">
        <v>252</v>
      </c>
      <c r="F40">
        <v>249</v>
      </c>
      <c r="S40" s="18" t="s">
        <v>293</v>
      </c>
      <c r="T40">
        <v>39</v>
      </c>
      <c r="U40" s="18" t="s">
        <v>343</v>
      </c>
      <c r="V40">
        <v>50</v>
      </c>
    </row>
    <row r="41" spans="3:22" x14ac:dyDescent="0.25">
      <c r="S41" s="18" t="s">
        <v>294</v>
      </c>
      <c r="T41">
        <v>40</v>
      </c>
      <c r="U41" s="18" t="s">
        <v>344</v>
      </c>
      <c r="V41">
        <v>49</v>
      </c>
    </row>
    <row r="42" spans="3:22" x14ac:dyDescent="0.25">
      <c r="S42" s="18" t="s">
        <v>295</v>
      </c>
      <c r="T42">
        <v>41</v>
      </c>
      <c r="U42" s="18" t="s">
        <v>345</v>
      </c>
      <c r="V42">
        <v>47</v>
      </c>
    </row>
    <row r="43" spans="3:22" x14ac:dyDescent="0.25">
      <c r="S43" s="18" t="s">
        <v>296</v>
      </c>
      <c r="T43">
        <v>42</v>
      </c>
      <c r="U43" s="18" t="s">
        <v>346</v>
      </c>
      <c r="V43">
        <v>22</v>
      </c>
    </row>
    <row r="44" spans="3:22" x14ac:dyDescent="0.25">
      <c r="S44" s="18" t="s">
        <v>297</v>
      </c>
      <c r="T44">
        <v>43</v>
      </c>
      <c r="U44" s="18" t="s">
        <v>347</v>
      </c>
      <c r="V44">
        <v>21</v>
      </c>
    </row>
    <row r="45" spans="3:22" x14ac:dyDescent="0.25">
      <c r="S45" s="18" t="s">
        <v>298</v>
      </c>
      <c r="T45">
        <v>44</v>
      </c>
      <c r="U45" s="18" t="s">
        <v>348</v>
      </c>
      <c r="V45">
        <v>4</v>
      </c>
    </row>
    <row r="46" spans="3:22" x14ac:dyDescent="0.25">
      <c r="S46" s="18" t="s">
        <v>299</v>
      </c>
      <c r="T46">
        <v>45</v>
      </c>
      <c r="U46" s="18" t="s">
        <v>20</v>
      </c>
      <c r="V46">
        <v>5</v>
      </c>
    </row>
    <row r="47" spans="3:22" x14ac:dyDescent="0.25">
      <c r="S47" s="18" t="s">
        <v>300</v>
      </c>
      <c r="T47">
        <v>46</v>
      </c>
      <c r="U47" s="18" t="s">
        <v>349</v>
      </c>
      <c r="V47">
        <v>7</v>
      </c>
    </row>
    <row r="48" spans="3:22" x14ac:dyDescent="0.25">
      <c r="S48" s="18" t="s">
        <v>301</v>
      </c>
      <c r="T48">
        <v>47</v>
      </c>
      <c r="U48" s="18" t="s">
        <v>350</v>
      </c>
      <c r="V48">
        <v>51</v>
      </c>
    </row>
    <row r="49" spans="19:22" x14ac:dyDescent="0.25">
      <c r="S49" s="18" t="s">
        <v>302</v>
      </c>
      <c r="T49">
        <v>48</v>
      </c>
      <c r="U49" s="18" t="s">
        <v>13</v>
      </c>
      <c r="V49">
        <v>12</v>
      </c>
    </row>
    <row r="50" spans="19:22" x14ac:dyDescent="0.25">
      <c r="S50" s="18" t="s">
        <v>303</v>
      </c>
      <c r="T50">
        <v>49</v>
      </c>
      <c r="U50" s="18" t="s">
        <v>351</v>
      </c>
      <c r="V50">
        <v>13</v>
      </c>
    </row>
    <row r="51" spans="19:22" x14ac:dyDescent="0.25">
      <c r="S51" s="18" t="s">
        <v>304</v>
      </c>
      <c r="T51">
        <v>50</v>
      </c>
      <c r="U51" s="18" t="s">
        <v>352</v>
      </c>
      <c r="V51">
        <v>2</v>
      </c>
    </row>
    <row r="52" spans="19:22" x14ac:dyDescent="0.25">
      <c r="S52" s="18" t="s">
        <v>305</v>
      </c>
      <c r="T52">
        <v>51</v>
      </c>
      <c r="U52" s="18" t="s">
        <v>353</v>
      </c>
      <c r="V52">
        <v>18</v>
      </c>
    </row>
    <row r="53" spans="19:22" x14ac:dyDescent="0.25">
      <c r="U53" s="18" t="s">
        <v>354</v>
      </c>
      <c r="V53">
        <v>53</v>
      </c>
    </row>
    <row r="54" spans="19:22" x14ac:dyDescent="0.25">
      <c r="U54" s="18" t="s">
        <v>355</v>
      </c>
      <c r="V54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9EFE-0C8E-4DA2-8AF6-2B8B8D73EBDD}">
  <dimension ref="B1:E52"/>
  <sheetViews>
    <sheetView topLeftCell="A16" workbookViewId="0">
      <selection activeCell="D37" sqref="D37"/>
    </sheetView>
  </sheetViews>
  <sheetFormatPr defaultRowHeight="15" x14ac:dyDescent="0.25"/>
  <cols>
    <col min="2" max="2" width="11.5703125" bestFit="1" customWidth="1"/>
    <col min="3" max="3" width="12.85546875" bestFit="1" customWidth="1"/>
  </cols>
  <sheetData>
    <row r="1" spans="2:5" x14ac:dyDescent="0.25">
      <c r="B1" s="2" t="s">
        <v>28</v>
      </c>
      <c r="C1" s="2" t="s">
        <v>229</v>
      </c>
      <c r="E1" s="2" t="s">
        <v>223</v>
      </c>
    </row>
    <row r="2" spans="2:5" x14ac:dyDescent="0.25">
      <c r="B2" s="18" t="s">
        <v>75</v>
      </c>
      <c r="C2" t="s">
        <v>231</v>
      </c>
      <c r="E2" t="s">
        <v>256</v>
      </c>
    </row>
    <row r="3" spans="2:5" x14ac:dyDescent="0.25">
      <c r="B3" s="18" t="s">
        <v>76</v>
      </c>
      <c r="C3" t="s">
        <v>230</v>
      </c>
      <c r="E3" t="s">
        <v>255</v>
      </c>
    </row>
    <row r="4" spans="2:5" x14ac:dyDescent="0.25">
      <c r="B4" s="18" t="s">
        <v>77</v>
      </c>
      <c r="C4" t="s">
        <v>230</v>
      </c>
      <c r="E4" t="s">
        <v>258</v>
      </c>
    </row>
    <row r="5" spans="2:5" x14ac:dyDescent="0.25">
      <c r="B5" s="18" t="s">
        <v>78</v>
      </c>
      <c r="C5" t="s">
        <v>231</v>
      </c>
      <c r="E5" t="s">
        <v>257</v>
      </c>
    </row>
    <row r="6" spans="2:5" x14ac:dyDescent="0.25">
      <c r="B6" s="18" t="s">
        <v>79</v>
      </c>
      <c r="C6" t="s">
        <v>230</v>
      </c>
      <c r="E6" t="s">
        <v>259</v>
      </c>
    </row>
    <row r="7" spans="2:5" x14ac:dyDescent="0.25">
      <c r="B7" s="18" t="s">
        <v>80</v>
      </c>
      <c r="C7" t="s">
        <v>231</v>
      </c>
      <c r="E7" t="s">
        <v>260</v>
      </c>
    </row>
    <row r="8" spans="2:5" x14ac:dyDescent="0.25">
      <c r="B8" s="18" t="s">
        <v>81</v>
      </c>
      <c r="C8" t="s">
        <v>230</v>
      </c>
      <c r="E8" t="s">
        <v>261</v>
      </c>
    </row>
    <row r="9" spans="2:5" x14ac:dyDescent="0.25">
      <c r="B9" s="18" t="s">
        <v>82</v>
      </c>
      <c r="C9" t="s">
        <v>231</v>
      </c>
      <c r="E9" t="s">
        <v>263</v>
      </c>
    </row>
    <row r="10" spans="2:5" x14ac:dyDescent="0.25">
      <c r="B10" s="18" t="s">
        <v>83</v>
      </c>
      <c r="C10" t="s">
        <v>230</v>
      </c>
      <c r="E10" t="s">
        <v>262</v>
      </c>
    </row>
    <row r="11" spans="2:5" x14ac:dyDescent="0.25">
      <c r="B11" s="18" t="s">
        <v>84</v>
      </c>
      <c r="C11" t="s">
        <v>231</v>
      </c>
      <c r="E11" t="s">
        <v>264</v>
      </c>
    </row>
    <row r="12" spans="2:5" x14ac:dyDescent="0.25">
      <c r="B12" s="18" t="s">
        <v>85</v>
      </c>
      <c r="C12" t="s">
        <v>231</v>
      </c>
      <c r="E12" t="s">
        <v>265</v>
      </c>
    </row>
    <row r="13" spans="2:5" x14ac:dyDescent="0.25">
      <c r="B13" s="18" t="s">
        <v>86</v>
      </c>
      <c r="C13" t="s">
        <v>231</v>
      </c>
      <c r="E13" t="s">
        <v>266</v>
      </c>
    </row>
    <row r="14" spans="2:5" x14ac:dyDescent="0.25">
      <c r="B14" s="18" t="s">
        <v>87</v>
      </c>
      <c r="C14" t="s">
        <v>231</v>
      </c>
      <c r="E14" t="s">
        <v>268</v>
      </c>
    </row>
    <row r="15" spans="2:5" x14ac:dyDescent="0.25">
      <c r="B15" s="18" t="s">
        <v>88</v>
      </c>
      <c r="C15" t="s">
        <v>231</v>
      </c>
      <c r="E15" t="s">
        <v>269</v>
      </c>
    </row>
    <row r="16" spans="2:5" x14ac:dyDescent="0.25">
      <c r="B16" s="18" t="s">
        <v>89</v>
      </c>
      <c r="C16" t="s">
        <v>230</v>
      </c>
      <c r="E16" t="s">
        <v>270</v>
      </c>
    </row>
    <row r="17" spans="2:5" x14ac:dyDescent="0.25">
      <c r="B17" s="18" t="s">
        <v>90</v>
      </c>
      <c r="C17" t="s">
        <v>230</v>
      </c>
      <c r="E17" t="s">
        <v>267</v>
      </c>
    </row>
    <row r="18" spans="2:5" x14ac:dyDescent="0.25">
      <c r="B18" s="18" t="s">
        <v>91</v>
      </c>
      <c r="C18" t="s">
        <v>230</v>
      </c>
      <c r="E18" t="s">
        <v>271</v>
      </c>
    </row>
    <row r="19" spans="2:5" x14ac:dyDescent="0.25">
      <c r="B19" s="18" t="s">
        <v>92</v>
      </c>
      <c r="C19" t="s">
        <v>231</v>
      </c>
      <c r="E19" t="s">
        <v>272</v>
      </c>
    </row>
    <row r="20" spans="2:5" x14ac:dyDescent="0.25">
      <c r="B20" s="18" t="s">
        <v>93</v>
      </c>
      <c r="C20" t="s">
        <v>231</v>
      </c>
      <c r="E20" t="s">
        <v>273</v>
      </c>
    </row>
    <row r="21" spans="2:5" x14ac:dyDescent="0.25">
      <c r="B21" s="18" t="s">
        <v>94</v>
      </c>
      <c r="C21" t="s">
        <v>230</v>
      </c>
      <c r="E21" t="s">
        <v>276</v>
      </c>
    </row>
    <row r="22" spans="2:5" x14ac:dyDescent="0.25">
      <c r="B22" s="18" t="s">
        <v>95</v>
      </c>
      <c r="C22" t="s">
        <v>231</v>
      </c>
      <c r="E22" t="s">
        <v>275</v>
      </c>
    </row>
    <row r="23" spans="2:5" x14ac:dyDescent="0.25">
      <c r="B23" s="18" t="s">
        <v>96</v>
      </c>
      <c r="C23" t="s">
        <v>230</v>
      </c>
      <c r="E23" t="s">
        <v>274</v>
      </c>
    </row>
    <row r="24" spans="2:5" x14ac:dyDescent="0.25">
      <c r="B24" s="18" t="s">
        <v>97</v>
      </c>
      <c r="C24" t="s">
        <v>231</v>
      </c>
      <c r="E24" t="s">
        <v>277</v>
      </c>
    </row>
    <row r="25" spans="2:5" x14ac:dyDescent="0.25">
      <c r="B25" s="18" t="s">
        <v>98</v>
      </c>
      <c r="C25" t="s">
        <v>230</v>
      </c>
      <c r="E25" t="s">
        <v>278</v>
      </c>
    </row>
    <row r="26" spans="2:5" x14ac:dyDescent="0.25">
      <c r="B26" s="18" t="s">
        <v>99</v>
      </c>
      <c r="C26" t="s">
        <v>231</v>
      </c>
      <c r="E26" t="s">
        <v>280</v>
      </c>
    </row>
    <row r="27" spans="2:5" x14ac:dyDescent="0.25">
      <c r="B27" s="18" t="s">
        <v>100</v>
      </c>
      <c r="C27" t="s">
        <v>230</v>
      </c>
      <c r="E27" t="s">
        <v>279</v>
      </c>
    </row>
    <row r="28" spans="2:5" x14ac:dyDescent="0.25">
      <c r="B28" s="18" t="s">
        <v>101</v>
      </c>
      <c r="C28" t="s">
        <v>230</v>
      </c>
      <c r="E28" t="s">
        <v>281</v>
      </c>
    </row>
    <row r="29" spans="2:5" x14ac:dyDescent="0.25">
      <c r="B29" s="18" t="s">
        <v>102</v>
      </c>
      <c r="C29" t="s">
        <v>231</v>
      </c>
      <c r="E29" t="s">
        <v>284</v>
      </c>
    </row>
    <row r="30" spans="2:5" x14ac:dyDescent="0.25">
      <c r="B30" s="18" t="s">
        <v>103</v>
      </c>
      <c r="C30" t="s">
        <v>231</v>
      </c>
      <c r="E30" t="s">
        <v>288</v>
      </c>
    </row>
    <row r="31" spans="2:5" x14ac:dyDescent="0.25">
      <c r="B31" s="18" t="s">
        <v>104</v>
      </c>
      <c r="C31" t="s">
        <v>231</v>
      </c>
      <c r="E31" t="s">
        <v>285</v>
      </c>
    </row>
    <row r="32" spans="2:5" x14ac:dyDescent="0.25">
      <c r="B32" s="18" t="s">
        <v>105</v>
      </c>
      <c r="C32" t="s">
        <v>231</v>
      </c>
      <c r="E32" t="s">
        <v>286</v>
      </c>
    </row>
    <row r="33" spans="2:5" x14ac:dyDescent="0.25">
      <c r="B33" s="18" t="s">
        <v>106</v>
      </c>
      <c r="C33" t="s">
        <v>231</v>
      </c>
      <c r="E33" t="s">
        <v>287</v>
      </c>
    </row>
    <row r="34" spans="2:5" x14ac:dyDescent="0.25">
      <c r="B34" s="18" t="s">
        <v>107</v>
      </c>
      <c r="C34" t="s">
        <v>231</v>
      </c>
      <c r="E34" t="s">
        <v>289</v>
      </c>
    </row>
    <row r="35" spans="2:5" x14ac:dyDescent="0.25">
      <c r="B35" s="18" t="s">
        <v>108</v>
      </c>
      <c r="C35" t="s">
        <v>230</v>
      </c>
      <c r="E35" t="s">
        <v>282</v>
      </c>
    </row>
    <row r="36" spans="2:5" x14ac:dyDescent="0.25">
      <c r="B36" s="18" t="s">
        <v>109</v>
      </c>
      <c r="C36" t="s">
        <v>231</v>
      </c>
      <c r="E36" t="s">
        <v>283</v>
      </c>
    </row>
    <row r="37" spans="2:5" x14ac:dyDescent="0.25">
      <c r="B37" s="18" t="s">
        <v>110</v>
      </c>
      <c r="C37" t="s">
        <v>230</v>
      </c>
      <c r="E37" t="s">
        <v>290</v>
      </c>
    </row>
    <row r="38" spans="2:5" x14ac:dyDescent="0.25">
      <c r="E38" t="s">
        <v>291</v>
      </c>
    </row>
    <row r="39" spans="2:5" x14ac:dyDescent="0.25">
      <c r="E39" t="s">
        <v>292</v>
      </c>
    </row>
    <row r="40" spans="2:5" x14ac:dyDescent="0.25">
      <c r="E40" t="s">
        <v>293</v>
      </c>
    </row>
    <row r="41" spans="2:5" x14ac:dyDescent="0.25">
      <c r="E41" t="s">
        <v>294</v>
      </c>
    </row>
    <row r="42" spans="2:5" x14ac:dyDescent="0.25">
      <c r="E42" t="s">
        <v>295</v>
      </c>
    </row>
    <row r="43" spans="2:5" x14ac:dyDescent="0.25">
      <c r="E43" t="s">
        <v>296</v>
      </c>
    </row>
    <row r="44" spans="2:5" x14ac:dyDescent="0.25">
      <c r="E44" t="s">
        <v>297</v>
      </c>
    </row>
    <row r="45" spans="2:5" x14ac:dyDescent="0.25">
      <c r="E45" t="s">
        <v>298</v>
      </c>
    </row>
    <row r="46" spans="2:5" x14ac:dyDescent="0.25">
      <c r="E46" t="s">
        <v>299</v>
      </c>
    </row>
    <row r="47" spans="2:5" x14ac:dyDescent="0.25">
      <c r="E47" t="s">
        <v>301</v>
      </c>
    </row>
    <row r="48" spans="2:5" x14ac:dyDescent="0.25">
      <c r="E48" t="s">
        <v>300</v>
      </c>
    </row>
    <row r="49" spans="5:5" x14ac:dyDescent="0.25">
      <c r="E49" t="s">
        <v>302</v>
      </c>
    </row>
    <row r="50" spans="5:5" x14ac:dyDescent="0.25">
      <c r="E50" t="s">
        <v>304</v>
      </c>
    </row>
    <row r="51" spans="5:5" x14ac:dyDescent="0.25">
      <c r="E51" t="s">
        <v>303</v>
      </c>
    </row>
    <row r="52" spans="5:5" x14ac:dyDescent="0.25">
      <c r="E52" t="s">
        <v>305</v>
      </c>
    </row>
  </sheetData>
  <sheetProtection algorithmName="SHA-512" hashValue="S8klKJfVTNeMmQMMYBCDfD4i/1dkoXtlkJAKJWD+Uw7qjjAV6tQ23acywIYQulB08c2xJHpoZMxQFPvhlWnE3w==" saltValue="O0I59MT2LhLB1wFjQ9NRfQ==" spinCount="100000" sheet="1" objects="1" scenarios="1" formatColumns="0"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8D3D-10D5-43E6-9609-6B91664C90D2}">
  <dimension ref="A1:F83"/>
  <sheetViews>
    <sheetView topLeftCell="A73" workbookViewId="0">
      <selection activeCell="A80" sqref="A80"/>
    </sheetView>
  </sheetViews>
  <sheetFormatPr defaultRowHeight="15" x14ac:dyDescent="0.25"/>
  <cols>
    <col min="1" max="1" width="19.28515625" bestFit="1" customWidth="1"/>
    <col min="2" max="2" width="24.7109375" bestFit="1" customWidth="1"/>
    <col min="3" max="3" width="19.28515625" bestFit="1" customWidth="1"/>
    <col min="4" max="4" width="25.5703125" customWidth="1"/>
    <col min="5" max="5" width="9" bestFit="1" customWidth="1"/>
    <col min="6" max="6" width="26.7109375" customWidth="1"/>
  </cols>
  <sheetData>
    <row r="1" spans="1:6" s="24" customFormat="1" x14ac:dyDescent="0.25">
      <c r="A1" s="24" t="s">
        <v>118</v>
      </c>
      <c r="B1" s="24" t="s">
        <v>114</v>
      </c>
      <c r="C1" s="24" t="s">
        <v>122</v>
      </c>
      <c r="D1" s="24" t="s">
        <v>115</v>
      </c>
      <c r="E1" s="24" t="s">
        <v>116</v>
      </c>
      <c r="F1" s="24" t="s">
        <v>117</v>
      </c>
    </row>
    <row r="2" spans="1:6" x14ac:dyDescent="0.25">
      <c r="A2" t="s">
        <v>119</v>
      </c>
      <c r="B2" t="s">
        <v>120</v>
      </c>
      <c r="C2" t="s">
        <v>121</v>
      </c>
      <c r="D2" t="s">
        <v>125</v>
      </c>
      <c r="E2" t="s">
        <v>124</v>
      </c>
      <c r="F2" t="str">
        <f>IF('MIRL Review Request'!G16="","",('MIRL Review Request'!G16*12))</f>
        <v/>
      </c>
    </row>
    <row r="3" spans="1:6" x14ac:dyDescent="0.25">
      <c r="C3" t="s">
        <v>121</v>
      </c>
      <c r="D3" t="s">
        <v>126</v>
      </c>
      <c r="E3" t="s">
        <v>124</v>
      </c>
      <c r="F3" t="b">
        <v>1</v>
      </c>
    </row>
    <row r="4" spans="1:6" x14ac:dyDescent="0.25">
      <c r="C4" t="s">
        <v>121</v>
      </c>
      <c r="D4" t="s">
        <v>127</v>
      </c>
      <c r="E4" t="s">
        <v>124</v>
      </c>
      <c r="F4" s="18" t="s">
        <v>129</v>
      </c>
    </row>
    <row r="5" spans="1:6" x14ac:dyDescent="0.25">
      <c r="C5" t="s">
        <v>121</v>
      </c>
      <c r="D5" t="s">
        <v>123</v>
      </c>
      <c r="E5" t="s">
        <v>124</v>
      </c>
      <c r="F5" t="str">
        <f>F2</f>
        <v/>
      </c>
    </row>
    <row r="6" spans="1:6" x14ac:dyDescent="0.25">
      <c r="C6" t="s">
        <v>145</v>
      </c>
      <c r="D6" t="s">
        <v>147</v>
      </c>
      <c r="E6" t="s">
        <v>124</v>
      </c>
      <c r="F6" s="18" t="s">
        <v>148</v>
      </c>
    </row>
    <row r="7" spans="1:6" x14ac:dyDescent="0.25">
      <c r="C7" t="s">
        <v>121</v>
      </c>
      <c r="D7" t="s">
        <v>151</v>
      </c>
      <c r="E7" t="s">
        <v>124</v>
      </c>
      <c r="F7" s="18" t="s">
        <v>154</v>
      </c>
    </row>
    <row r="8" spans="1:6" x14ac:dyDescent="0.25">
      <c r="C8" t="s">
        <v>121</v>
      </c>
      <c r="D8" t="s">
        <v>157</v>
      </c>
      <c r="E8" t="s">
        <v>124</v>
      </c>
      <c r="F8" s="18" t="s">
        <v>165</v>
      </c>
    </row>
    <row r="9" spans="1:6" x14ac:dyDescent="0.25">
      <c r="C9" t="s">
        <v>121</v>
      </c>
      <c r="D9" t="s">
        <v>168</v>
      </c>
      <c r="E9" t="s">
        <v>124</v>
      </c>
      <c r="F9" t="str">
        <f>_xlfn.CONCAT("MIRL"," ",'MIRL Review Request'!K8,"-",'MIRL Review Request'!K10)</f>
        <v>MIRL -</v>
      </c>
    </row>
    <row r="10" spans="1:6" x14ac:dyDescent="0.25">
      <c r="C10" t="s">
        <v>121</v>
      </c>
      <c r="D10" t="s">
        <v>171</v>
      </c>
      <c r="E10" t="s">
        <v>124</v>
      </c>
      <c r="F10" s="18" t="s">
        <v>253</v>
      </c>
    </row>
    <row r="11" spans="1:6" x14ac:dyDescent="0.25">
      <c r="C11" t="s">
        <v>121</v>
      </c>
      <c r="D11" t="s">
        <v>146</v>
      </c>
      <c r="E11" t="s">
        <v>124</v>
      </c>
      <c r="F11" s="18" t="s">
        <v>178</v>
      </c>
    </row>
    <row r="17" spans="1:6" x14ac:dyDescent="0.25">
      <c r="C17" t="s">
        <v>179</v>
      </c>
      <c r="D17" t="s">
        <v>180</v>
      </c>
      <c r="E17" t="s">
        <v>124</v>
      </c>
      <c r="F17" s="18" t="s">
        <v>252</v>
      </c>
    </row>
    <row r="18" spans="1:6" x14ac:dyDescent="0.25">
      <c r="C18" t="s">
        <v>179</v>
      </c>
      <c r="D18" t="s">
        <v>219</v>
      </c>
      <c r="E18" t="s">
        <v>124</v>
      </c>
      <c r="F18">
        <f>IF('MIRL Review Request'!G14="","",'MIRL Review Request'!G14)</f>
        <v>0</v>
      </c>
    </row>
    <row r="24" spans="1:6" x14ac:dyDescent="0.25">
      <c r="A24" t="s">
        <v>119</v>
      </c>
      <c r="B24" s="55" t="s">
        <v>245</v>
      </c>
      <c r="C24" t="s">
        <v>228</v>
      </c>
      <c r="D24" t="s">
        <v>220</v>
      </c>
      <c r="E24" t="s">
        <v>124</v>
      </c>
      <c r="F24" s="18" t="str">
        <f>IF('MIRL Review Request'!C20="","","Company")</f>
        <v/>
      </c>
    </row>
    <row r="25" spans="1:6" x14ac:dyDescent="0.25">
      <c r="B25" s="55"/>
      <c r="C25" t="s">
        <v>228</v>
      </c>
      <c r="D25" t="s">
        <v>221</v>
      </c>
      <c r="E25" t="s">
        <v>124</v>
      </c>
      <c r="F25" t="str">
        <f>IF('MIRL Review Request'!C20="","",'MIRL Review Request'!C20)</f>
        <v/>
      </c>
    </row>
    <row r="26" spans="1:6" x14ac:dyDescent="0.25">
      <c r="B26" s="55"/>
      <c r="C26" t="s">
        <v>228</v>
      </c>
      <c r="D26" t="s">
        <v>222</v>
      </c>
      <c r="E26" t="s">
        <v>124</v>
      </c>
      <c r="F26" t="str">
        <f>IF('MIRL Review Request'!C21="","",'MIRL Review Request'!C21)</f>
        <v/>
      </c>
    </row>
    <row r="27" spans="1:6" x14ac:dyDescent="0.25">
      <c r="B27" s="55"/>
      <c r="C27" t="s">
        <v>228</v>
      </c>
      <c r="D27" t="s">
        <v>27</v>
      </c>
      <c r="E27" t="s">
        <v>124</v>
      </c>
      <c r="F27" t="str">
        <f>IF('MIRL Review Request'!C22="","",'MIRL Review Request'!C22)</f>
        <v/>
      </c>
    </row>
    <row r="28" spans="1:6" x14ac:dyDescent="0.25">
      <c r="B28" s="55"/>
      <c r="C28" t="s">
        <v>228</v>
      </c>
      <c r="D28" t="s">
        <v>223</v>
      </c>
      <c r="E28" t="s">
        <v>124</v>
      </c>
      <c r="F28" s="18" t="str">
        <f>IF('MIRL Review Request'!C23="","",'MIRL Review Request'!C23)</f>
        <v/>
      </c>
    </row>
    <row r="29" spans="1:6" x14ac:dyDescent="0.25">
      <c r="B29" s="55"/>
      <c r="C29" t="s">
        <v>228</v>
      </c>
      <c r="D29" t="s">
        <v>30</v>
      </c>
      <c r="E29" t="s">
        <v>124</v>
      </c>
      <c r="F29" t="str">
        <f>IF('MIRL Review Request'!C24="","",'MIRL Review Request'!C24)</f>
        <v/>
      </c>
    </row>
    <row r="30" spans="1:6" x14ac:dyDescent="0.25">
      <c r="B30" s="55"/>
      <c r="C30" t="s">
        <v>228</v>
      </c>
      <c r="D30" t="s">
        <v>224</v>
      </c>
      <c r="E30" t="s">
        <v>124</v>
      </c>
      <c r="F30" s="18" t="str">
        <f>IF('MIRL Review Request'!C20="","","Parent Owner")</f>
        <v/>
      </c>
    </row>
    <row r="31" spans="1:6" x14ac:dyDescent="0.25">
      <c r="B31" s="55"/>
      <c r="C31" t="s">
        <v>228</v>
      </c>
      <c r="D31" t="s">
        <v>225</v>
      </c>
      <c r="E31" t="s">
        <v>124</v>
      </c>
      <c r="F31" t="str">
        <f>IF('MIRL Review Request'!C27="","",'MIRL Review Request'!C27)</f>
        <v/>
      </c>
    </row>
    <row r="32" spans="1:6" x14ac:dyDescent="0.25">
      <c r="B32" s="55"/>
      <c r="C32" t="s">
        <v>228</v>
      </c>
      <c r="D32" t="s">
        <v>226</v>
      </c>
      <c r="E32" t="s">
        <v>124</v>
      </c>
      <c r="F32" t="str">
        <f>IF('MIRL Review Request'!C26="","",'MIRL Review Request'!C26)</f>
        <v/>
      </c>
    </row>
    <row r="33" spans="2:6" x14ac:dyDescent="0.25">
      <c r="B33" s="55"/>
      <c r="C33" t="s">
        <v>228</v>
      </c>
      <c r="D33" t="s">
        <v>227</v>
      </c>
      <c r="E33" t="s">
        <v>124</v>
      </c>
      <c r="F33" t="str">
        <f>IF('MIRL Review Request'!C28="","",'MIRL Review Request'!C28)</f>
        <v/>
      </c>
    </row>
    <row r="35" spans="2:6" x14ac:dyDescent="0.25">
      <c r="B35" s="55" t="s">
        <v>19</v>
      </c>
      <c r="C35" t="s">
        <v>356</v>
      </c>
      <c r="D35" t="s">
        <v>220</v>
      </c>
      <c r="E35" t="s">
        <v>124</v>
      </c>
      <c r="F35" s="18" t="str">
        <f>IF('MIRL Review Request'!C31="","","Company")</f>
        <v/>
      </c>
    </row>
    <row r="36" spans="2:6" x14ac:dyDescent="0.25">
      <c r="B36" s="55"/>
      <c r="C36" t="s">
        <v>356</v>
      </c>
      <c r="D36" t="s">
        <v>221</v>
      </c>
      <c r="E36" t="s">
        <v>124</v>
      </c>
      <c r="F36" t="str">
        <f>IF('MIRL Review Request'!C31="","",'MIRL Review Request'!C31)</f>
        <v/>
      </c>
    </row>
    <row r="37" spans="2:6" x14ac:dyDescent="0.25">
      <c r="B37" s="55"/>
      <c r="C37" t="s">
        <v>356</v>
      </c>
      <c r="D37" t="s">
        <v>222</v>
      </c>
      <c r="E37" t="s">
        <v>124</v>
      </c>
      <c r="F37" t="str">
        <f>IF('MIRL Review Request'!C32="","",'MIRL Review Request'!C32)</f>
        <v/>
      </c>
    </row>
    <row r="38" spans="2:6" x14ac:dyDescent="0.25">
      <c r="B38" s="55"/>
      <c r="C38" t="s">
        <v>356</v>
      </c>
      <c r="D38" t="s">
        <v>27</v>
      </c>
      <c r="E38" t="s">
        <v>124</v>
      </c>
      <c r="F38" t="str">
        <f>IF('MIRL Review Request'!C33="","",'MIRL Review Request'!C33)</f>
        <v/>
      </c>
    </row>
    <row r="39" spans="2:6" x14ac:dyDescent="0.25">
      <c r="B39" s="55"/>
      <c r="C39" t="s">
        <v>356</v>
      </c>
      <c r="D39" t="s">
        <v>223</v>
      </c>
      <c r="E39" t="s">
        <v>124</v>
      </c>
      <c r="F39" s="18" t="str">
        <f>IF('MIRL Review Request'!C34="","",'MIRL Review Request'!C34)</f>
        <v/>
      </c>
    </row>
    <row r="40" spans="2:6" x14ac:dyDescent="0.25">
      <c r="B40" s="55"/>
      <c r="C40" t="s">
        <v>356</v>
      </c>
      <c r="D40" t="s">
        <v>30</v>
      </c>
      <c r="E40" t="s">
        <v>124</v>
      </c>
      <c r="F40" t="str">
        <f>IF('MIRL Review Request'!C35="","",'MIRL Review Request'!C35)</f>
        <v/>
      </c>
    </row>
    <row r="41" spans="2:6" x14ac:dyDescent="0.25">
      <c r="B41" s="55"/>
      <c r="C41" t="s">
        <v>356</v>
      </c>
      <c r="D41" t="s">
        <v>224</v>
      </c>
      <c r="E41" t="s">
        <v>124</v>
      </c>
      <c r="F41" s="18" t="str">
        <f>IF('MIRL Review Request'!C31="","","General Contractor")</f>
        <v/>
      </c>
    </row>
    <row r="42" spans="2:6" x14ac:dyDescent="0.25">
      <c r="B42" s="55"/>
      <c r="C42" t="s">
        <v>356</v>
      </c>
      <c r="D42" t="s">
        <v>225</v>
      </c>
      <c r="E42" t="s">
        <v>124</v>
      </c>
      <c r="F42" t="str">
        <f>IF('MIRL Review Request'!C38="","",'MIRL Review Request'!C38)</f>
        <v/>
      </c>
    </row>
    <row r="43" spans="2:6" x14ac:dyDescent="0.25">
      <c r="B43" s="55"/>
      <c r="C43" t="s">
        <v>356</v>
      </c>
      <c r="D43" t="s">
        <v>226</v>
      </c>
      <c r="E43" t="s">
        <v>124</v>
      </c>
      <c r="F43" t="str">
        <f>IF('MIRL Review Request'!C37="","",'MIRL Review Request'!C37)</f>
        <v/>
      </c>
    </row>
    <row r="44" spans="2:6" x14ac:dyDescent="0.25">
      <c r="B44" s="55"/>
      <c r="C44" t="s">
        <v>356</v>
      </c>
      <c r="D44" t="s">
        <v>227</v>
      </c>
      <c r="E44" t="s">
        <v>124</v>
      </c>
      <c r="F44" t="str">
        <f>IF('MIRL Review Request'!C39="","",'MIRL Review Request'!C39)</f>
        <v/>
      </c>
    </row>
    <row r="46" spans="2:6" x14ac:dyDescent="0.25">
      <c r="B46" s="55" t="s">
        <v>246</v>
      </c>
      <c r="C46" t="s">
        <v>357</v>
      </c>
      <c r="D46" t="s">
        <v>220</v>
      </c>
      <c r="E46" t="s">
        <v>124</v>
      </c>
      <c r="F46" s="18" t="str">
        <f>IF('MIRL Review Request'!G20="","","Company")</f>
        <v/>
      </c>
    </row>
    <row r="47" spans="2:6" x14ac:dyDescent="0.25">
      <c r="B47" s="55"/>
      <c r="C47" t="s">
        <v>357</v>
      </c>
      <c r="D47" t="s">
        <v>221</v>
      </c>
      <c r="E47" t="s">
        <v>124</v>
      </c>
      <c r="F47" t="str">
        <f>IF('MIRL Review Request'!G20="","",'MIRL Review Request'!G20)</f>
        <v/>
      </c>
    </row>
    <row r="48" spans="2:6" x14ac:dyDescent="0.25">
      <c r="B48" s="55"/>
      <c r="C48" t="s">
        <v>357</v>
      </c>
      <c r="D48" t="s">
        <v>222</v>
      </c>
      <c r="E48" t="s">
        <v>124</v>
      </c>
      <c r="F48" t="str">
        <f>IF('MIRL Review Request'!G21="","",'MIRL Review Request'!G21)</f>
        <v/>
      </c>
    </row>
    <row r="49" spans="2:6" x14ac:dyDescent="0.25">
      <c r="B49" s="55"/>
      <c r="C49" t="s">
        <v>357</v>
      </c>
      <c r="D49" t="s">
        <v>27</v>
      </c>
      <c r="E49" t="s">
        <v>124</v>
      </c>
      <c r="F49" t="str">
        <f>IF('MIRL Review Request'!G22="","",'MIRL Review Request'!G22)</f>
        <v/>
      </c>
    </row>
    <row r="50" spans="2:6" x14ac:dyDescent="0.25">
      <c r="B50" s="55"/>
      <c r="C50" t="s">
        <v>357</v>
      </c>
      <c r="D50" t="s">
        <v>223</v>
      </c>
      <c r="E50" t="s">
        <v>124</v>
      </c>
      <c r="F50" s="18" t="str">
        <f>IF('MIRL Review Request'!G23="","",'MIRL Review Request'!G23)</f>
        <v/>
      </c>
    </row>
    <row r="51" spans="2:6" x14ac:dyDescent="0.25">
      <c r="B51" s="55"/>
      <c r="C51" t="s">
        <v>357</v>
      </c>
      <c r="D51" t="s">
        <v>30</v>
      </c>
      <c r="E51" t="s">
        <v>124</v>
      </c>
      <c r="F51" t="str">
        <f>IF('MIRL Review Request'!G24="","",'MIRL Review Request'!G24)</f>
        <v/>
      </c>
    </row>
    <row r="52" spans="2:6" x14ac:dyDescent="0.25">
      <c r="B52" s="55"/>
      <c r="C52" t="s">
        <v>357</v>
      </c>
      <c r="D52" t="s">
        <v>224</v>
      </c>
      <c r="E52" t="s">
        <v>124</v>
      </c>
      <c r="F52" s="18" t="str">
        <f>IF('MIRL Review Request'!G20="","","Developer")</f>
        <v/>
      </c>
    </row>
    <row r="53" spans="2:6" x14ac:dyDescent="0.25">
      <c r="B53" s="55"/>
      <c r="C53" t="s">
        <v>357</v>
      </c>
      <c r="D53" t="s">
        <v>225</v>
      </c>
      <c r="E53" t="s">
        <v>124</v>
      </c>
      <c r="F53" t="str">
        <f>IF('MIRL Review Request'!G27="","",'MIRL Review Request'!G27)</f>
        <v/>
      </c>
    </row>
    <row r="54" spans="2:6" x14ac:dyDescent="0.25">
      <c r="B54" s="55"/>
      <c r="C54" t="s">
        <v>357</v>
      </c>
      <c r="D54" t="s">
        <v>226</v>
      </c>
      <c r="E54" t="s">
        <v>124</v>
      </c>
      <c r="F54" t="str">
        <f>IF('MIRL Review Request'!G26="","",'MIRL Review Request'!G26)</f>
        <v/>
      </c>
    </row>
    <row r="55" spans="2:6" x14ac:dyDescent="0.25">
      <c r="B55" s="55"/>
      <c r="C55" t="s">
        <v>357</v>
      </c>
      <c r="D55" t="s">
        <v>227</v>
      </c>
      <c r="E55" t="s">
        <v>124</v>
      </c>
      <c r="F55" t="str">
        <f>IF('MIRL Review Request'!G28="","",'MIRL Review Request'!G28)</f>
        <v/>
      </c>
    </row>
    <row r="57" spans="2:6" x14ac:dyDescent="0.25">
      <c r="B57" s="55" t="s">
        <v>20</v>
      </c>
      <c r="C57" t="s">
        <v>358</v>
      </c>
      <c r="D57" t="s">
        <v>220</v>
      </c>
      <c r="E57" t="s">
        <v>124</v>
      </c>
      <c r="F57" s="18" t="str">
        <f>IF('MIRL Review Request'!G31="","","Company")</f>
        <v/>
      </c>
    </row>
    <row r="58" spans="2:6" x14ac:dyDescent="0.25">
      <c r="B58" s="55"/>
      <c r="C58" t="s">
        <v>358</v>
      </c>
      <c r="D58" t="s">
        <v>221</v>
      </c>
      <c r="E58" t="s">
        <v>124</v>
      </c>
      <c r="F58" t="str">
        <f>IF('MIRL Review Request'!G32="","",'MIRL Review Request'!G32)</f>
        <v/>
      </c>
    </row>
    <row r="59" spans="2:6" x14ac:dyDescent="0.25">
      <c r="B59" s="55"/>
      <c r="C59" t="s">
        <v>358</v>
      </c>
      <c r="D59" t="s">
        <v>222</v>
      </c>
      <c r="E59" t="s">
        <v>124</v>
      </c>
      <c r="F59" t="str">
        <f>IF('MIRL Review Request'!G33="","",'MIRL Review Request'!G33)</f>
        <v/>
      </c>
    </row>
    <row r="60" spans="2:6" x14ac:dyDescent="0.25">
      <c r="B60" s="55"/>
      <c r="C60" t="s">
        <v>358</v>
      </c>
      <c r="D60" t="s">
        <v>27</v>
      </c>
      <c r="E60" t="s">
        <v>124</v>
      </c>
      <c r="F60" t="str">
        <f>IF('MIRL Review Request'!G34="","",'MIRL Review Request'!G34)</f>
        <v/>
      </c>
    </row>
    <row r="61" spans="2:6" x14ac:dyDescent="0.25">
      <c r="B61" s="55"/>
      <c r="C61" t="s">
        <v>358</v>
      </c>
      <c r="D61" t="s">
        <v>223</v>
      </c>
      <c r="E61" t="s">
        <v>124</v>
      </c>
      <c r="F61" s="18" t="str">
        <f>IF('MIRL Review Request'!G35="","",'MIRL Review Request'!G35)</f>
        <v/>
      </c>
    </row>
    <row r="62" spans="2:6" x14ac:dyDescent="0.25">
      <c r="B62" s="55"/>
      <c r="C62" t="s">
        <v>358</v>
      </c>
      <c r="D62" t="s">
        <v>30</v>
      </c>
      <c r="E62" t="s">
        <v>124</v>
      </c>
      <c r="F62" t="str">
        <f>IF('MIRL Review Request'!G36="","",'MIRL Review Request'!G36)</f>
        <v/>
      </c>
    </row>
    <row r="63" spans="2:6" x14ac:dyDescent="0.25">
      <c r="B63" s="55"/>
      <c r="C63" t="s">
        <v>358</v>
      </c>
      <c r="D63" t="s">
        <v>224</v>
      </c>
      <c r="E63" t="s">
        <v>124</v>
      </c>
      <c r="F63" s="18" t="str">
        <f>IF('MIRL Review Request'!G31="","","Architect")</f>
        <v/>
      </c>
    </row>
    <row r="64" spans="2:6" x14ac:dyDescent="0.25">
      <c r="B64" s="55"/>
      <c r="C64" t="s">
        <v>358</v>
      </c>
      <c r="D64" t="s">
        <v>225</v>
      </c>
      <c r="E64" t="s">
        <v>124</v>
      </c>
      <c r="F64" t="str">
        <f>IF('MIRL Review Request'!G38="","",'MIRL Review Request'!G38)</f>
        <v/>
      </c>
    </row>
    <row r="65" spans="2:6" x14ac:dyDescent="0.25">
      <c r="B65" s="55"/>
      <c r="C65" t="s">
        <v>358</v>
      </c>
      <c r="D65" t="s">
        <v>226</v>
      </c>
      <c r="E65" t="s">
        <v>124</v>
      </c>
      <c r="F65" t="str">
        <f>IF('MIRL Review Request'!G37="","",'MIRL Review Request'!G37)</f>
        <v/>
      </c>
    </row>
    <row r="66" spans="2:6" x14ac:dyDescent="0.25">
      <c r="B66" s="55"/>
      <c r="C66" t="s">
        <v>358</v>
      </c>
      <c r="D66" t="s">
        <v>227</v>
      </c>
      <c r="E66" t="s">
        <v>124</v>
      </c>
      <c r="F66" t="str">
        <f>IF('MIRL Review Request'!G39="","",'MIRL Review Request'!G39)</f>
        <v/>
      </c>
    </row>
    <row r="68" spans="2:6" x14ac:dyDescent="0.25">
      <c r="B68" s="55" t="s">
        <v>247</v>
      </c>
      <c r="C68" t="s">
        <v>359</v>
      </c>
      <c r="D68" t="s">
        <v>220</v>
      </c>
      <c r="E68" t="s">
        <v>124</v>
      </c>
      <c r="F68" s="18" t="str">
        <f>IF('MIRL Review Request'!K20="","","Company")</f>
        <v/>
      </c>
    </row>
    <row r="69" spans="2:6" x14ac:dyDescent="0.25">
      <c r="B69" s="55"/>
      <c r="C69" t="s">
        <v>359</v>
      </c>
      <c r="D69" t="s">
        <v>221</v>
      </c>
      <c r="E69" t="s">
        <v>124</v>
      </c>
      <c r="F69" t="str">
        <f>IF('MIRL Review Request'!K20="","",'MIRL Review Request'!K20)</f>
        <v/>
      </c>
    </row>
    <row r="70" spans="2:6" x14ac:dyDescent="0.25">
      <c r="B70" s="55"/>
      <c r="C70" t="s">
        <v>359</v>
      </c>
      <c r="D70" t="s">
        <v>222</v>
      </c>
      <c r="E70" t="s">
        <v>124</v>
      </c>
      <c r="F70" t="str">
        <f>IF('MIRL Review Request'!K21="","",'MIRL Review Request'!K21)</f>
        <v/>
      </c>
    </row>
    <row r="71" spans="2:6" x14ac:dyDescent="0.25">
      <c r="B71" s="55"/>
      <c r="C71" t="s">
        <v>359</v>
      </c>
      <c r="D71" t="s">
        <v>27</v>
      </c>
      <c r="E71" t="s">
        <v>124</v>
      </c>
      <c r="F71" t="str">
        <f>IF('MIRL Review Request'!K22="","",'MIRL Review Request'!K22)</f>
        <v/>
      </c>
    </row>
    <row r="72" spans="2:6" x14ac:dyDescent="0.25">
      <c r="B72" s="55"/>
      <c r="C72" t="s">
        <v>359</v>
      </c>
      <c r="D72" t="s">
        <v>223</v>
      </c>
      <c r="E72" t="s">
        <v>124</v>
      </c>
      <c r="F72" s="18" t="str">
        <f>IF('MIRL Review Request'!K23="","",'MIRL Review Request'!K23)</f>
        <v/>
      </c>
    </row>
    <row r="73" spans="2:6" x14ac:dyDescent="0.25">
      <c r="B73" s="55"/>
      <c r="C73" t="s">
        <v>359</v>
      </c>
      <c r="D73" t="s">
        <v>30</v>
      </c>
      <c r="E73" t="s">
        <v>124</v>
      </c>
      <c r="F73" t="str">
        <f>IF('MIRL Review Request'!K24="","",'MIRL Review Request'!K24)</f>
        <v/>
      </c>
    </row>
    <row r="74" spans="2:6" x14ac:dyDescent="0.25">
      <c r="B74" s="55"/>
      <c r="C74" t="s">
        <v>359</v>
      </c>
      <c r="D74" t="s">
        <v>224</v>
      </c>
      <c r="E74" t="s">
        <v>124</v>
      </c>
      <c r="F74" s="18" t="str">
        <f>IF('MIRL Review Request'!K20="","","Lender")</f>
        <v/>
      </c>
    </row>
    <row r="75" spans="2:6" x14ac:dyDescent="0.25">
      <c r="B75" s="55"/>
      <c r="C75" t="s">
        <v>359</v>
      </c>
      <c r="D75" t="s">
        <v>225</v>
      </c>
      <c r="E75" t="s">
        <v>124</v>
      </c>
      <c r="F75" t="str">
        <f>IF('MIRL Review Request'!K27="","",'MIRL Review Request'!K27)</f>
        <v/>
      </c>
    </row>
    <row r="76" spans="2:6" x14ac:dyDescent="0.25">
      <c r="B76" s="55"/>
      <c r="C76" t="s">
        <v>359</v>
      </c>
      <c r="D76" t="s">
        <v>226</v>
      </c>
      <c r="E76" t="s">
        <v>124</v>
      </c>
      <c r="F76" t="str">
        <f>IF('MIRL Review Request'!K26="","",'MIRL Review Request'!K26)</f>
        <v/>
      </c>
    </row>
    <row r="77" spans="2:6" x14ac:dyDescent="0.25">
      <c r="B77" s="55"/>
      <c r="C77" t="s">
        <v>359</v>
      </c>
      <c r="D77" t="s">
        <v>227</v>
      </c>
      <c r="E77" t="s">
        <v>124</v>
      </c>
      <c r="F77" t="str">
        <f>IF('MIRL Review Request'!K28="","",'MIRL Review Request'!K28)</f>
        <v/>
      </c>
    </row>
    <row r="83" spans="6:6" x14ac:dyDescent="0.25">
      <c r="F83" s="18"/>
    </row>
  </sheetData>
  <sheetProtection algorithmName="SHA-512" hashValue="E61lFer6a3G+42w6VkF0ePNiTOJ4+TvaxuSkfcS1jJ7mX8hFnRbzObDQko64JfK0JWudE60e9hRqGEprp2Xn8Q==" saltValue="/jyrSMQJ5sONZliN1lZNgQ==" spinCount="100000" sheet="1" objects="1" scenarios="1" formatColumns="0" formatRows="0"/>
  <mergeCells count="5">
    <mergeCell ref="B24:B33"/>
    <mergeCell ref="B35:B44"/>
    <mergeCell ref="B46:B55"/>
    <mergeCell ref="B57:B66"/>
    <mergeCell ref="B68:B77"/>
  </mergeCells>
  <phoneticPr fontId="11" type="noConversion"/>
  <dataValidations count="9">
    <dataValidation type="list" errorStyle="warning" showInputMessage="1" showErrorMessage="1" errorTitle="SmartDox" error="The value you entered for the dropdown is not valid." sqref="F17" xr:uid="{03F3F6B0-615C-4953-9E82-DBC2329127A0}">
      <formula1>SD_D_DEVFundingSource_Name</formula1>
    </dataValidation>
    <dataValidation type="list" errorStyle="warning" showInputMessage="1" showErrorMessage="1" errorTitle="SmartDox" error="The value you entered for the dropdown is not valid." sqref="F8" xr:uid="{0CC95C19-1948-4392-9338-CA51928345DC}">
      <formula1>SD_D_PL_LoanStatus_Name</formula1>
    </dataValidation>
    <dataValidation type="list" errorStyle="warning" showInputMessage="1" showErrorMessage="1" errorTitle="SmartDox" error="The value you entered for the dropdown is not valid." sqref="F7" xr:uid="{002A4214-22D4-419F-96EA-FBCBD9AD0C0D}">
      <formula1>SD_D_PL_LoanProduct_Name</formula1>
    </dataValidation>
    <dataValidation type="list" errorStyle="warning" showInputMessage="1" showErrorMessage="1" errorTitle="SmartDox" error="The value you entered for the dropdown is not valid." sqref="F6" xr:uid="{E382067F-9197-4FC0-9C77-23553FCD2D3D}">
      <formula1>SD_D_PL_LoanStructure_Name</formula1>
    </dataValidation>
    <dataValidation type="list" errorStyle="warning" showInputMessage="1" showErrorMessage="1" errorTitle="SmartDox" error="The value you entered for the dropdown is not valid." sqref="F4" xr:uid="{38781C39-A5F5-4BBF-8789-0BF8FFD2937A}">
      <formula1>SD_D_PL_LoanPurpose_Name</formula1>
    </dataValidation>
    <dataValidation type="list" errorStyle="warning" showInputMessage="1" showErrorMessage="1" errorTitle="SmartDox" error="The value you entered for the dropdown is not valid." sqref="F10" xr:uid="{47E0C2EC-96C8-4941-874D-01421B99C681}">
      <formula1>SD_D_PL_LoanProgramType_Name</formula1>
    </dataValidation>
    <dataValidation type="list" errorStyle="warning" showInputMessage="1" showErrorMessage="1" errorTitle="SmartDox" error="The value you entered for the dropdown is not valid." sqref="F24 F68 F57 F46 F35" xr:uid="{DFF9A190-B0E7-49DC-AE13-4172C260B411}">
      <formula1>SD_D_PL_EntityCompanyOrIndividual_Name</formula1>
    </dataValidation>
    <dataValidation type="list" errorStyle="warning" showInputMessage="1" showErrorMessage="1" errorTitle="SmartDox" error="The value you entered for the dropdown is not valid." sqref="F28 F72 F61 F50 F39" xr:uid="{0B929CF7-02EE-4E1B-8D01-7E7B515A66A4}">
      <formula1>SD_D_PL_State_Name</formula1>
    </dataValidation>
    <dataValidation type="list" errorStyle="warning" showInputMessage="1" showErrorMessage="1" errorTitle="SmartDox" error="The value you entered for the dropdown is not valid." sqref="F30 F74 F63 F52 F41" xr:uid="{C4AE19D9-6B31-431E-8CE2-E80ABEB0BCB5}">
      <formula1>SD_D_PL_DealEntityRole_Name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F3BD-40F2-4F9E-A1CE-E5DFF0BA311E}">
  <sheetPr>
    <tabColor theme="5" tint="-0.249977111117893"/>
  </sheetPr>
  <dimension ref="A1:AM64"/>
  <sheetViews>
    <sheetView zoomScaleNormal="100" workbookViewId="0">
      <selection activeCell="H11" sqref="H11"/>
    </sheetView>
  </sheetViews>
  <sheetFormatPr defaultRowHeight="15" x14ac:dyDescent="0.25"/>
  <cols>
    <col min="1" max="1" width="23.28515625" style="34" customWidth="1"/>
    <col min="2" max="2" width="20" style="12" bestFit="1" customWidth="1"/>
    <col min="3" max="3" width="23.140625" style="12" customWidth="1"/>
    <col min="4" max="4" width="20" style="12" bestFit="1" customWidth="1"/>
    <col min="5" max="5" width="22.85546875" style="12" customWidth="1"/>
    <col min="6" max="6" width="17" style="12" customWidth="1"/>
    <col min="7" max="7" width="20.28515625" style="12" customWidth="1"/>
    <col min="8" max="8" width="14.85546875" style="12" bestFit="1" customWidth="1"/>
    <col min="9" max="9" width="17.5703125" style="12" customWidth="1"/>
    <col min="10" max="10" width="15.140625" style="12" customWidth="1"/>
    <col min="11" max="11" width="8" style="34" bestFit="1" customWidth="1"/>
    <col min="12" max="12" width="9.140625" style="34"/>
    <col min="13" max="13" width="22.28515625" style="34" bestFit="1" customWidth="1"/>
    <col min="14" max="37" width="9.140625" style="34"/>
    <col min="38" max="16384" width="9.140625" style="12"/>
  </cols>
  <sheetData>
    <row r="1" spans="1:13" s="33" customFormat="1" ht="121.5" customHeight="1" x14ac:dyDescent="0.25">
      <c r="B1" s="49" t="s">
        <v>376</v>
      </c>
      <c r="C1" s="49"/>
      <c r="D1" s="49"/>
      <c r="E1" s="49"/>
      <c r="F1" s="49"/>
      <c r="G1" s="49"/>
      <c r="H1" s="49"/>
      <c r="I1" s="49"/>
      <c r="J1" s="49"/>
      <c r="K1" s="49"/>
    </row>
    <row r="2" spans="1:13" s="70" customFormat="1" ht="7.5" customHeight="1" x14ac:dyDescent="0.25"/>
    <row r="3" spans="1:13" s="34" customFormat="1" ht="2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M3" s="65"/>
    </row>
    <row r="4" spans="1:13" s="34" customFormat="1" x14ac:dyDescent="0.25">
      <c r="M4" s="65"/>
    </row>
    <row r="5" spans="1:13" ht="30" x14ac:dyDescent="0.25">
      <c r="A5" s="63" t="s">
        <v>72</v>
      </c>
      <c r="B5" s="17">
        <f>'MIRL Review Request'!C14</f>
        <v>0</v>
      </c>
      <c r="C5" s="11" t="s">
        <v>49</v>
      </c>
      <c r="D5" s="27">
        <f>SUM(B5*0.05)</f>
        <v>0</v>
      </c>
      <c r="E5" s="12" t="s">
        <v>50</v>
      </c>
      <c r="F5" s="27">
        <f>SUM(B5*0.01)</f>
        <v>0</v>
      </c>
      <c r="G5" s="28" t="s">
        <v>111</v>
      </c>
      <c r="H5" s="25" t="str">
        <f>IF('MIRL Review Request'!G16="","",'MIRL Review Request'!G16)</f>
        <v/>
      </c>
      <c r="I5" s="34"/>
      <c r="J5" s="34"/>
      <c r="M5" s="65"/>
    </row>
    <row r="6" spans="1:13" s="34" customFormat="1" x14ac:dyDescent="0.25">
      <c r="B6" s="66"/>
      <c r="M6" s="65"/>
    </row>
    <row r="7" spans="1:13" s="34" customFormat="1" x14ac:dyDescent="0.25">
      <c r="B7" s="66"/>
      <c r="M7" s="65"/>
    </row>
    <row r="8" spans="1:13" x14ac:dyDescent="0.25">
      <c r="A8" s="39" t="s">
        <v>74</v>
      </c>
      <c r="B8" s="57"/>
      <c r="C8" s="11" t="s">
        <v>51</v>
      </c>
      <c r="D8" s="58" t="str">
        <f>IF(OR(B8="",B8&lt;=DATE(2025,7,1)),"",IF(AND(B8&gt;=DATE(2025,7,1),B8&lt;=DATE(2026,6,30)),"Fiscal Year 2026-2027",IF(B8&lt;=DATE(2027,6,30),"Fiscal Year 2027-2028",IF(B8&lt;=DATE(2028,6,30),"Fiscal Year 2028-2029",IF(B8&lt;=DATE(2029,6,30),"Fiscal Year 2029-2030",IF(B8&lt;=DATE(2030,6,30),"Fiscal Year 2030-2031",""))))))</f>
        <v/>
      </c>
      <c r="E8" s="11" t="s">
        <v>52</v>
      </c>
      <c r="F8" s="59"/>
      <c r="G8" s="11" t="s">
        <v>373</v>
      </c>
      <c r="H8" s="56"/>
      <c r="I8" s="34"/>
      <c r="J8" s="34"/>
      <c r="M8" s="65"/>
    </row>
    <row r="9" spans="1:13" s="34" customFormat="1" x14ac:dyDescent="0.25">
      <c r="B9" s="66"/>
      <c r="M9" s="65"/>
    </row>
    <row r="10" spans="1:13" s="34" customFormat="1" ht="30" x14ac:dyDescent="0.25">
      <c r="A10" s="39" t="s">
        <v>53</v>
      </c>
      <c r="B10" s="39" t="s">
        <v>54</v>
      </c>
      <c r="C10" s="63" t="s">
        <v>370</v>
      </c>
      <c r="D10" s="39" t="s">
        <v>55</v>
      </c>
      <c r="E10" s="39" t="s">
        <v>56</v>
      </c>
      <c r="F10" s="39" t="s">
        <v>57</v>
      </c>
      <c r="G10" s="39" t="s">
        <v>372</v>
      </c>
      <c r="H10" s="63" t="s">
        <v>368</v>
      </c>
      <c r="I10" s="63" t="s">
        <v>369</v>
      </c>
      <c r="J10" s="63" t="s">
        <v>73</v>
      </c>
    </row>
    <row r="11" spans="1:13" x14ac:dyDescent="0.25">
      <c r="A11" s="64" t="s">
        <v>58</v>
      </c>
      <c r="B11" s="60">
        <f>+SUM(B5,D5,F5)</f>
        <v>0</v>
      </c>
      <c r="C11" s="60" t="str">
        <f>IFERROR(SUM($B$5/$H$5),"")</f>
        <v/>
      </c>
      <c r="D11" s="61"/>
      <c r="E11" s="60" t="str">
        <f>IFERROR(SUM($D$5/$H$5),"")</f>
        <v/>
      </c>
      <c r="F11" s="60" t="str">
        <f>IFERROR(SUM($F$5/$H$5),"")</f>
        <v/>
      </c>
      <c r="G11" s="60">
        <f>$H$8*($F$8/1000)</f>
        <v>0</v>
      </c>
      <c r="H11" s="60">
        <f>IF(B11&gt;SUM(C11:F11),SUM(C11:F11),B11)</f>
        <v>0</v>
      </c>
      <c r="I11" s="60">
        <f>H11-G11</f>
        <v>0</v>
      </c>
      <c r="J11" s="62">
        <f>B11-I11</f>
        <v>0</v>
      </c>
      <c r="K11" s="64" t="str">
        <f>A11</f>
        <v>Year 1</v>
      </c>
    </row>
    <row r="12" spans="1:13" x14ac:dyDescent="0.25">
      <c r="A12" s="64" t="s">
        <v>59</v>
      </c>
      <c r="B12" s="60">
        <f>SUM(J11)</f>
        <v>0</v>
      </c>
      <c r="C12" s="60" t="str">
        <f t="shared" ref="C12:C20" si="0">IFERROR(SUM($B$5/$H$5),"")</f>
        <v/>
      </c>
      <c r="D12" s="60" t="str">
        <f>IF(J11&gt;0,IFERROR(((H11*1.03)-(E11+F11))-C11,""),"")</f>
        <v/>
      </c>
      <c r="E12" s="60" t="str">
        <f t="shared" ref="E12:E20" si="1">IFERROR(SUM($D$5/$H$5),"")</f>
        <v/>
      </c>
      <c r="F12" s="60" t="str">
        <f>IFERROR(SUM($F$5/$H$5),"")</f>
        <v/>
      </c>
      <c r="G12" s="17">
        <f>G11*1.03</f>
        <v>0</v>
      </c>
      <c r="H12" s="60">
        <f>IF(B12&gt;SUM(C12:F12),SUM(C12:F12),B12)</f>
        <v>0</v>
      </c>
      <c r="I12" s="60">
        <f>H12-G12</f>
        <v>0</v>
      </c>
      <c r="J12" s="62">
        <f>B12-I12</f>
        <v>0</v>
      </c>
      <c r="K12" s="64" t="str">
        <f>A12</f>
        <v>Year 2</v>
      </c>
    </row>
    <row r="13" spans="1:13" x14ac:dyDescent="0.25">
      <c r="A13" s="64" t="s">
        <v>60</v>
      </c>
      <c r="B13" s="60">
        <f t="shared" ref="B13:B20" si="2">SUM(J12)</f>
        <v>0</v>
      </c>
      <c r="C13" s="60" t="str">
        <f t="shared" si="0"/>
        <v/>
      </c>
      <c r="D13" s="60" t="str">
        <f>IF(J12&gt;0,IFERROR(((H12*1.03)-(E12+F12))-C12,""),"")</f>
        <v/>
      </c>
      <c r="E13" s="60" t="str">
        <f t="shared" si="1"/>
        <v/>
      </c>
      <c r="F13" s="60" t="str">
        <f t="shared" ref="F13:F20" si="3">IFERROR(SUM($F$5/$H$5),"")</f>
        <v/>
      </c>
      <c r="G13" s="17">
        <f t="shared" ref="G13:G25" si="4">G12*1.03</f>
        <v>0</v>
      </c>
      <c r="H13" s="60">
        <f>IF(B13&gt;SUM(C13:F13),SUM(C13:F13),B13)</f>
        <v>0</v>
      </c>
      <c r="I13" s="60">
        <f>H13-G13</f>
        <v>0</v>
      </c>
      <c r="J13" s="62">
        <f>B13-I13</f>
        <v>0</v>
      </c>
      <c r="K13" s="64" t="str">
        <f>A13</f>
        <v>Year 3</v>
      </c>
    </row>
    <row r="14" spans="1:13" x14ac:dyDescent="0.25">
      <c r="A14" s="64" t="s">
        <v>61</v>
      </c>
      <c r="B14" s="60">
        <f t="shared" si="2"/>
        <v>0</v>
      </c>
      <c r="C14" s="60" t="str">
        <f t="shared" si="0"/>
        <v/>
      </c>
      <c r="D14" s="60" t="str">
        <f t="shared" ref="D14:D19" si="5">IF(J13&gt;0,IFERROR(((H13*1.03)-(E13+F13))-C13,""),"")</f>
        <v/>
      </c>
      <c r="E14" s="60" t="str">
        <f t="shared" si="1"/>
        <v/>
      </c>
      <c r="F14" s="60" t="str">
        <f t="shared" si="3"/>
        <v/>
      </c>
      <c r="G14" s="17">
        <f t="shared" si="4"/>
        <v>0</v>
      </c>
      <c r="H14" s="60">
        <f>IF(B14&gt;SUM(C14:F14),SUM(C14:F14),B14)</f>
        <v>0</v>
      </c>
      <c r="I14" s="60">
        <f>H14-G14</f>
        <v>0</v>
      </c>
      <c r="J14" s="62">
        <f>B14-I14</f>
        <v>0</v>
      </c>
      <c r="K14" s="64" t="str">
        <f>A14</f>
        <v>Year 4</v>
      </c>
    </row>
    <row r="15" spans="1:13" x14ac:dyDescent="0.25">
      <c r="A15" s="64" t="s">
        <v>62</v>
      </c>
      <c r="B15" s="60">
        <f t="shared" si="2"/>
        <v>0</v>
      </c>
      <c r="C15" s="60" t="str">
        <f t="shared" si="0"/>
        <v/>
      </c>
      <c r="D15" s="60" t="str">
        <f t="shared" si="5"/>
        <v/>
      </c>
      <c r="E15" s="60" t="str">
        <f t="shared" si="1"/>
        <v/>
      </c>
      <c r="F15" s="60" t="str">
        <f t="shared" si="3"/>
        <v/>
      </c>
      <c r="G15" s="17">
        <f t="shared" si="4"/>
        <v>0</v>
      </c>
      <c r="H15" s="60">
        <f>IF(B15&gt;SUM(C15:F15),SUM(C15:F15),B15)</f>
        <v>0</v>
      </c>
      <c r="I15" s="60">
        <f>H15-G15</f>
        <v>0</v>
      </c>
      <c r="J15" s="62">
        <f>B15-I15</f>
        <v>0</v>
      </c>
      <c r="K15" s="64" t="str">
        <f>A15</f>
        <v>Year 5</v>
      </c>
    </row>
    <row r="16" spans="1:13" x14ac:dyDescent="0.25">
      <c r="A16" s="64" t="s">
        <v>63</v>
      </c>
      <c r="B16" s="60">
        <f t="shared" si="2"/>
        <v>0</v>
      </c>
      <c r="C16" s="60" t="str">
        <f t="shared" si="0"/>
        <v/>
      </c>
      <c r="D16" s="60" t="str">
        <f t="shared" si="5"/>
        <v/>
      </c>
      <c r="E16" s="60" t="str">
        <f t="shared" si="1"/>
        <v/>
      </c>
      <c r="F16" s="60" t="str">
        <f t="shared" si="3"/>
        <v/>
      </c>
      <c r="G16" s="17">
        <f t="shared" si="4"/>
        <v>0</v>
      </c>
      <c r="H16" s="60">
        <f>IF(B16&gt;SUM(C16:F16),SUM(C16:F16),B16)</f>
        <v>0</v>
      </c>
      <c r="I16" s="60">
        <f>H16-G16</f>
        <v>0</v>
      </c>
      <c r="J16" s="62">
        <f>B16-I16</f>
        <v>0</v>
      </c>
      <c r="K16" s="64" t="str">
        <f>A16</f>
        <v>Year 6</v>
      </c>
    </row>
    <row r="17" spans="1:39" x14ac:dyDescent="0.25">
      <c r="A17" s="64" t="s">
        <v>64</v>
      </c>
      <c r="B17" s="60">
        <f t="shared" si="2"/>
        <v>0</v>
      </c>
      <c r="C17" s="60" t="str">
        <f t="shared" si="0"/>
        <v/>
      </c>
      <c r="D17" s="60" t="str">
        <f t="shared" si="5"/>
        <v/>
      </c>
      <c r="E17" s="60" t="str">
        <f t="shared" si="1"/>
        <v/>
      </c>
      <c r="F17" s="60" t="str">
        <f t="shared" si="3"/>
        <v/>
      </c>
      <c r="G17" s="17">
        <f t="shared" si="4"/>
        <v>0</v>
      </c>
      <c r="H17" s="60">
        <f>IF(B17&gt;SUM(C17:F17),SUM(C17:F17),B17)</f>
        <v>0</v>
      </c>
      <c r="I17" s="60">
        <f>H17-G17</f>
        <v>0</v>
      </c>
      <c r="J17" s="62">
        <f>B17-I17</f>
        <v>0</v>
      </c>
      <c r="K17" s="64" t="str">
        <f>A17</f>
        <v>Year 7</v>
      </c>
    </row>
    <row r="18" spans="1:39" x14ac:dyDescent="0.25">
      <c r="A18" s="64" t="s">
        <v>65</v>
      </c>
      <c r="B18" s="60">
        <f t="shared" si="2"/>
        <v>0</v>
      </c>
      <c r="C18" s="60" t="str">
        <f t="shared" si="0"/>
        <v/>
      </c>
      <c r="D18" s="60" t="str">
        <f t="shared" si="5"/>
        <v/>
      </c>
      <c r="E18" s="60" t="str">
        <f t="shared" si="1"/>
        <v/>
      </c>
      <c r="F18" s="60" t="str">
        <f t="shared" si="3"/>
        <v/>
      </c>
      <c r="G18" s="17">
        <f t="shared" si="4"/>
        <v>0</v>
      </c>
      <c r="H18" s="60">
        <f>IF(B18&gt;SUM(C18:F18),SUM(C18:F18),B18)</f>
        <v>0</v>
      </c>
      <c r="I18" s="60">
        <f>H18-G18</f>
        <v>0</v>
      </c>
      <c r="J18" s="62">
        <f>B18-I18</f>
        <v>0</v>
      </c>
      <c r="K18" s="64" t="str">
        <f>A18</f>
        <v>Year 8</v>
      </c>
    </row>
    <row r="19" spans="1:39" x14ac:dyDescent="0.25">
      <c r="A19" s="64" t="s">
        <v>66</v>
      </c>
      <c r="B19" s="60">
        <f t="shared" si="2"/>
        <v>0</v>
      </c>
      <c r="C19" s="60" t="str">
        <f t="shared" si="0"/>
        <v/>
      </c>
      <c r="D19" s="60" t="str">
        <f t="shared" si="5"/>
        <v/>
      </c>
      <c r="E19" s="60" t="str">
        <f t="shared" si="1"/>
        <v/>
      </c>
      <c r="F19" s="60" t="str">
        <f t="shared" si="3"/>
        <v/>
      </c>
      <c r="G19" s="17">
        <f t="shared" si="4"/>
        <v>0</v>
      </c>
      <c r="H19" s="60">
        <f>IF(B19&gt;SUM(C19:F19),SUM(C19:F19),B19)</f>
        <v>0</v>
      </c>
      <c r="I19" s="60">
        <f>H19-G19</f>
        <v>0</v>
      </c>
      <c r="J19" s="62">
        <f>B19-I19</f>
        <v>0</v>
      </c>
      <c r="K19" s="64" t="str">
        <f>A19</f>
        <v>Year 9</v>
      </c>
    </row>
    <row r="20" spans="1:39" x14ac:dyDescent="0.25">
      <c r="A20" s="64" t="s">
        <v>67</v>
      </c>
      <c r="B20" s="60">
        <f t="shared" si="2"/>
        <v>0</v>
      </c>
      <c r="C20" s="60" t="str">
        <f t="shared" si="0"/>
        <v/>
      </c>
      <c r="D20" s="60" t="str">
        <f>IF(J19&gt;0,IFERROR(((H19*1.03)-(E19+F19))-C19,""),"")</f>
        <v/>
      </c>
      <c r="E20" s="60" t="str">
        <f t="shared" si="1"/>
        <v/>
      </c>
      <c r="F20" s="60" t="str">
        <f t="shared" si="3"/>
        <v/>
      </c>
      <c r="G20" s="17">
        <f t="shared" si="4"/>
        <v>0</v>
      </c>
      <c r="H20" s="60">
        <f>IF(B20&gt;SUM(C20:F20),SUM(C20:F20),B20)</f>
        <v>0</v>
      </c>
      <c r="I20" s="60">
        <f>H20-G20</f>
        <v>0</v>
      </c>
      <c r="J20" s="62">
        <f>B20-I20</f>
        <v>0</v>
      </c>
      <c r="K20" s="64" t="str">
        <f>A20</f>
        <v>Year 10</v>
      </c>
    </row>
    <row r="21" spans="1:39" x14ac:dyDescent="0.25">
      <c r="A21" s="64" t="str">
        <f>IF($H$5&gt;10,"Year 11","")</f>
        <v>Year 11</v>
      </c>
      <c r="B21" s="60">
        <f>SUM(J20)</f>
        <v>0</v>
      </c>
      <c r="C21" s="60" t="str">
        <f>IF($H$5&gt;10,IFERROR(SUM($B$5/$H$5),""),"")</f>
        <v/>
      </c>
      <c r="D21" s="60" t="str">
        <f>IF(AND(B21&gt;0,H5&gt;10),IFERROR(((H20*1.03)-(E20+F20))-C20,""),"")</f>
        <v/>
      </c>
      <c r="E21" s="60" t="str">
        <f>IF($H$5&gt;10,IFERROR(SUM($D$5/$H$5),""),"")</f>
        <v/>
      </c>
      <c r="F21" s="60" t="str">
        <f>IF($H$5&gt;10,IFERROR(SUM($F$5/$H$5),""),"")</f>
        <v/>
      </c>
      <c r="G21" s="17">
        <f t="shared" si="4"/>
        <v>0</v>
      </c>
      <c r="H21" s="60">
        <f>IF(AND(H5&gt;10,B21&gt;SUM(C21:F21)),SUM(C21:F21),SUM(G21,B21))</f>
        <v>0</v>
      </c>
      <c r="I21" s="60">
        <f>H21-G21</f>
        <v>0</v>
      </c>
      <c r="J21" s="62">
        <f>B21-I21</f>
        <v>0</v>
      </c>
      <c r="K21" s="64" t="str">
        <f>A21</f>
        <v>Year 11</v>
      </c>
    </row>
    <row r="22" spans="1:39" x14ac:dyDescent="0.25">
      <c r="A22" s="64" t="str">
        <f>IF(H5&gt;11,"Year 12","")</f>
        <v>Year 12</v>
      </c>
      <c r="B22" s="60">
        <f t="shared" ref="B22:B25" si="6">SUM(J21)</f>
        <v>0</v>
      </c>
      <c r="C22" s="60" t="str">
        <f>IF($H$5&gt;11,IFERROR(SUM($B$5/$H$5),""),"")</f>
        <v/>
      </c>
      <c r="D22" s="60" t="str">
        <f t="shared" ref="D22:D25" si="7">IF(AND(B22&gt;0,H6&gt;10),IFERROR(((H21*1.03)-(E21+F21))-C21,""),"")</f>
        <v/>
      </c>
      <c r="E22" s="60" t="str">
        <f>IF($H$5&gt;11,IFERROR(SUM($D$5/$H$5),""),"")</f>
        <v/>
      </c>
      <c r="F22" s="60" t="str">
        <f>IF($H$5&gt;11,IFERROR(SUM($F$5/$H$5),""),"")</f>
        <v/>
      </c>
      <c r="G22" s="17">
        <f t="shared" si="4"/>
        <v>0</v>
      </c>
      <c r="H22" s="60">
        <f t="shared" ref="H22:H25" si="8">IF(AND(H6&gt;10,B22&gt;SUM(C22:F22)),SUM(C22:F22),SUM(G22,B22))</f>
        <v>0</v>
      </c>
      <c r="I22" s="60">
        <f t="shared" ref="I22:I25" si="9">H22-G22</f>
        <v>0</v>
      </c>
      <c r="J22" s="62">
        <f t="shared" ref="J22:J25" si="10">B22-I22</f>
        <v>0</v>
      </c>
      <c r="K22" s="64" t="str">
        <f>A22</f>
        <v>Year 12</v>
      </c>
    </row>
    <row r="23" spans="1:39" x14ac:dyDescent="0.25">
      <c r="A23" s="64" t="str">
        <f>IF(H5&gt;12,"Year 13","")</f>
        <v>Year 13</v>
      </c>
      <c r="B23" s="60">
        <f t="shared" si="6"/>
        <v>0</v>
      </c>
      <c r="C23" s="60" t="str">
        <f>IF($H$5&gt;12,IFERROR(SUM($B$5/$H$5),""),"")</f>
        <v/>
      </c>
      <c r="D23" s="60" t="str">
        <f t="shared" si="7"/>
        <v/>
      </c>
      <c r="E23" s="60" t="str">
        <f>IF($H$5&gt;12,IFERROR(SUM($D$5/$H$5),""),"")</f>
        <v/>
      </c>
      <c r="F23" s="60" t="str">
        <f>IF($H$5&gt;12,IFERROR(SUM($F$5/$H$5),""),"")</f>
        <v/>
      </c>
      <c r="G23" s="17">
        <f t="shared" si="4"/>
        <v>0</v>
      </c>
      <c r="H23" s="60">
        <f t="shared" si="8"/>
        <v>0</v>
      </c>
      <c r="I23" s="60">
        <f t="shared" si="9"/>
        <v>0</v>
      </c>
      <c r="J23" s="62">
        <f t="shared" si="10"/>
        <v>0</v>
      </c>
      <c r="K23" s="64" t="str">
        <f>A23</f>
        <v>Year 13</v>
      </c>
    </row>
    <row r="24" spans="1:39" x14ac:dyDescent="0.25">
      <c r="A24" s="64" t="str">
        <f>IF(H5&gt;13,"Year 14","")</f>
        <v>Year 14</v>
      </c>
      <c r="B24" s="60">
        <f t="shared" si="6"/>
        <v>0</v>
      </c>
      <c r="C24" s="60" t="str">
        <f>IF($H$5&gt;13,IFERROR(SUM($B$5/$H$5),""),"")</f>
        <v/>
      </c>
      <c r="D24" s="60" t="str">
        <f t="shared" si="7"/>
        <v/>
      </c>
      <c r="E24" s="60" t="str">
        <f>IF($H$5&gt;13,IFERROR(SUM($D$5/$H$5),""),"")</f>
        <v/>
      </c>
      <c r="F24" s="60" t="str">
        <f>IF($H$5&gt;13,IFERROR(SUM($F$5/$H$5),""),"")</f>
        <v/>
      </c>
      <c r="G24" s="17">
        <f t="shared" si="4"/>
        <v>0</v>
      </c>
      <c r="H24" s="60">
        <f t="shared" si="8"/>
        <v>0</v>
      </c>
      <c r="I24" s="60">
        <f t="shared" si="9"/>
        <v>0</v>
      </c>
      <c r="J24" s="62">
        <f t="shared" si="10"/>
        <v>0</v>
      </c>
      <c r="K24" s="64" t="str">
        <f>A24</f>
        <v>Year 14</v>
      </c>
    </row>
    <row r="25" spans="1:39" x14ac:dyDescent="0.25">
      <c r="A25" s="64" t="str">
        <f>IF(H5&gt;14,"Year 15","")</f>
        <v>Year 15</v>
      </c>
      <c r="B25" s="60">
        <f t="shared" si="6"/>
        <v>0</v>
      </c>
      <c r="C25" s="60" t="str">
        <f>IF($H$5&gt;14,IFERROR(SUM($B$5/$H$5),""),"")</f>
        <v/>
      </c>
      <c r="D25" s="60" t="str">
        <f t="shared" si="7"/>
        <v/>
      </c>
      <c r="E25" s="60" t="str">
        <f>IF($H$5&gt;14,IFERROR(SUM($D$5/$H$5),""),"")</f>
        <v/>
      </c>
      <c r="F25" s="60" t="str">
        <f>IF($H$5&gt;14,IFERROR(SUM($F$5/$H$5),""),"")</f>
        <v/>
      </c>
      <c r="G25" s="17">
        <f t="shared" si="4"/>
        <v>0</v>
      </c>
      <c r="H25" s="60">
        <f t="shared" si="8"/>
        <v>0</v>
      </c>
      <c r="I25" s="60">
        <f t="shared" si="9"/>
        <v>0</v>
      </c>
      <c r="J25" s="62">
        <f t="shared" si="10"/>
        <v>0</v>
      </c>
      <c r="K25" s="64" t="str">
        <f>A25</f>
        <v>Year 15</v>
      </c>
    </row>
    <row r="26" spans="1:39" s="34" customFormat="1" x14ac:dyDescent="0.25"/>
    <row r="27" spans="1:39" s="34" customFormat="1" x14ac:dyDescent="0.25"/>
    <row r="28" spans="1:39" ht="45" x14ac:dyDescent="0.25">
      <c r="A28" s="34" t="s">
        <v>68</v>
      </c>
      <c r="B28" s="47"/>
      <c r="C28" s="34" t="s">
        <v>69</v>
      </c>
      <c r="D28" s="56"/>
      <c r="E28" s="68" t="s">
        <v>374</v>
      </c>
      <c r="F28" s="17">
        <f>((F8*0.75)/1000)*D28</f>
        <v>0</v>
      </c>
      <c r="G28" s="34"/>
      <c r="H28" s="34"/>
      <c r="I28" s="34"/>
      <c r="J28" s="34"/>
      <c r="AL28" s="34"/>
      <c r="AM28" s="34"/>
    </row>
    <row r="29" spans="1:39" s="34" customFormat="1" x14ac:dyDescent="0.25"/>
    <row r="30" spans="1:39" x14ac:dyDescent="0.25">
      <c r="A30" s="34" t="s">
        <v>70</v>
      </c>
      <c r="B30" s="56"/>
      <c r="C30" s="34" t="s">
        <v>71</v>
      </c>
      <c r="D30" s="17" t="str">
        <f>IFERROR(ROUND((F28-B30)*H5,0),"")</f>
        <v/>
      </c>
      <c r="E30" s="34"/>
      <c r="G30" s="34"/>
      <c r="H30" s="34"/>
      <c r="I30" s="34"/>
      <c r="J30" s="34"/>
      <c r="AL30" s="34"/>
      <c r="AM30" s="34"/>
    </row>
    <row r="31" spans="1:39" s="34" customFormat="1" x14ac:dyDescent="0.25"/>
    <row r="32" spans="1:39" s="34" customFormat="1" x14ac:dyDescent="0.25"/>
    <row r="33" spans="2:3" s="34" customFormat="1" x14ac:dyDescent="0.25"/>
    <row r="34" spans="2:3" s="34" customFormat="1" x14ac:dyDescent="0.25"/>
    <row r="35" spans="2:3" s="34" customFormat="1" x14ac:dyDescent="0.25">
      <c r="B35" s="67" t="s">
        <v>367</v>
      </c>
      <c r="C35" s="34" t="s">
        <v>377</v>
      </c>
    </row>
    <row r="36" spans="2:3" s="34" customFormat="1" x14ac:dyDescent="0.25"/>
    <row r="37" spans="2:3" s="34" customFormat="1" x14ac:dyDescent="0.25"/>
    <row r="38" spans="2:3" s="34" customFormat="1" x14ac:dyDescent="0.25"/>
    <row r="39" spans="2:3" s="34" customFormat="1" x14ac:dyDescent="0.25"/>
    <row r="40" spans="2:3" s="34" customFormat="1" x14ac:dyDescent="0.25"/>
    <row r="41" spans="2:3" s="34" customFormat="1" x14ac:dyDescent="0.25"/>
    <row r="42" spans="2:3" s="34" customFormat="1" x14ac:dyDescent="0.25"/>
    <row r="43" spans="2:3" s="34" customFormat="1" x14ac:dyDescent="0.25"/>
    <row r="44" spans="2:3" s="34" customFormat="1" x14ac:dyDescent="0.25"/>
    <row r="45" spans="2:3" s="34" customFormat="1" x14ac:dyDescent="0.25"/>
    <row r="46" spans="2:3" s="34" customFormat="1" x14ac:dyDescent="0.25"/>
    <row r="47" spans="2:3" s="34" customFormat="1" x14ac:dyDescent="0.25"/>
    <row r="48" spans="2:3" s="34" customFormat="1" x14ac:dyDescent="0.25"/>
    <row r="49" s="34" customFormat="1" x14ac:dyDescent="0.25"/>
    <row r="50" s="34" customFormat="1" x14ac:dyDescent="0.25"/>
    <row r="51" s="34" customFormat="1" x14ac:dyDescent="0.25"/>
    <row r="52" s="34" customFormat="1" x14ac:dyDescent="0.25"/>
    <row r="53" s="34" customFormat="1" x14ac:dyDescent="0.25"/>
    <row r="54" s="34" customFormat="1" x14ac:dyDescent="0.25"/>
    <row r="55" s="34" customFormat="1" x14ac:dyDescent="0.25"/>
    <row r="56" s="34" customFormat="1" x14ac:dyDescent="0.25"/>
    <row r="57" s="34" customFormat="1" x14ac:dyDescent="0.25"/>
    <row r="58" s="34" customFormat="1" x14ac:dyDescent="0.25"/>
    <row r="59" s="34" customFormat="1" x14ac:dyDescent="0.25"/>
    <row r="60" s="34" customFormat="1" x14ac:dyDescent="0.25"/>
    <row r="61" s="34" customFormat="1" x14ac:dyDescent="0.25"/>
    <row r="62" s="34" customFormat="1" x14ac:dyDescent="0.25"/>
    <row r="63" s="34" customFormat="1" x14ac:dyDescent="0.25"/>
    <row r="64" s="34" customFormat="1" x14ac:dyDescent="0.25"/>
  </sheetData>
  <sheetProtection algorithmName="SHA-512" hashValue="UN/tEtfxWqXW7IqNZ3qdgD8Os38r6RkiA0RdahGWXNI9vSSZ0Gb7Ngv6Q8Dt4IK35Nb/cPigLezw1hbhcwEjtw==" saltValue="UVtBmfi1fI46HpwqEcLabA==" spinCount="100000" sheet="1" objects="1" scenarios="1" formatColumns="0" formatRows="0"/>
  <mergeCells count="2">
    <mergeCell ref="A3:K3"/>
    <mergeCell ref="B1:K1"/>
  </mergeCells>
  <conditionalFormatting sqref="J11:J25"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B22:J25">
    <cfRule type="expression" dxfId="3" priority="4">
      <formula>$H$5&lt;11</formula>
    </cfRule>
  </conditionalFormatting>
  <conditionalFormatting sqref="B24:J25">
    <cfRule type="expression" dxfId="2" priority="2">
      <formula>$H$5&lt;13</formula>
    </cfRule>
  </conditionalFormatting>
  <conditionalFormatting sqref="B25:J25">
    <cfRule type="expression" dxfId="1" priority="1">
      <formula>$H$5&lt;14</formula>
    </cfRule>
  </conditionalFormatting>
  <conditionalFormatting sqref="B23:J25">
    <cfRule type="expression" dxfId="0" priority="3">
      <formula>$H$5&lt;12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4C68B71894C40B50602D793BFC62C" ma:contentTypeVersion="2" ma:contentTypeDescription="Create a new document." ma:contentTypeScope="" ma:versionID="4d78b03eaaf06b9a8bc295392566cced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F8C9E6-B060-4886-A806-1EBB6316AF71}"/>
</file>

<file path=customXml/itemProps2.xml><?xml version="1.0" encoding="utf-8"?>
<ds:datastoreItem xmlns:ds="http://schemas.openxmlformats.org/officeDocument/2006/customXml" ds:itemID="{8AC78CB5-67D3-4797-BF9A-69ED67BAF0A3}"/>
</file>

<file path=customXml/itemProps3.xml><?xml version="1.0" encoding="utf-8"?>
<ds:datastoreItem xmlns:ds="http://schemas.openxmlformats.org/officeDocument/2006/customXml" ds:itemID="{3BF88F7E-AED5-4E91-B270-4D135EB76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MIRL Review Request</vt:lpstr>
      <vt:lpstr>Data Sources</vt:lpstr>
      <vt:lpstr>ProlinkHFA</vt:lpstr>
      <vt:lpstr>Amortization Schedule</vt:lpstr>
    </vt:vector>
  </TitlesOfParts>
  <Manager/>
  <Company>Oregon Housing &amp; Community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ISOM Becky * HCS</dc:creator>
  <cp:keywords/>
  <dc:description/>
  <cp:lastModifiedBy>ISOM Becky * HCS</cp:lastModifiedBy>
  <cp:revision/>
  <dcterms:created xsi:type="dcterms:W3CDTF">2024-12-20T17:47:46Z</dcterms:created>
  <dcterms:modified xsi:type="dcterms:W3CDTF">2025-02-11T22:26:46Z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2024-12-20T19:14:24Z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471f27cd-fae9-41de-a86c-3523d8bb5cac</vt:lpwstr>
  </property>
  <property fmtid="{D5CDD505-2E9C-101B-9397-08002B2CF9AE}" pid="8" name="MSIP_Label_db79d039-fcd0-4045-9c78-4cfb2eba0904_ContentBits">
    <vt:lpwstr>0</vt:lpwstr>
  </property>
  <property fmtid="{D5CDD505-2E9C-101B-9397-08002B2CF9AE}" pid="9" name="SchemaType">
    <vt:lpwstr>Development</vt:lpwstr>
  </property>
  <property fmtid="{D5CDD505-2E9C-101B-9397-08002B2CF9AE}" pid="10" name="SD_RESERVED_IsProtected">
    <vt:lpwstr>True</vt:lpwstr>
  </property>
  <property fmtid="{D5CDD505-2E9C-101B-9397-08002B2CF9AE}" pid="11" name="SD_RESERVED_Protection0«RY1dD8EwGIX/StNbF0OGSNYljW1Ixt4oKu6aedGYNbaWzK9nEdycj+dcnAAEAUabaWew7u6aJNvky75WgMPZnms3GY23aRTjaZj1+rr0k9QwSuYSYkZt5bDN4l84Z3TgUyJBfJEEyehRFTXSMJBiDa2Gi/kqJSu8a3y87eawtoH35u0WKauIMK7Ksf5BqEyhy8ss4T/Er6ay+qmsNiUR+RkPrsDP6n2OPBDhCw=">
    <vt:lpwstr>SD_RESERVED_Protection1«=§</vt:lpwstr>
  </property>
  <property fmtid="{D5CDD505-2E9C-101B-9397-08002B2CF9AE}" pid="12" name="ContentTypeId">
    <vt:lpwstr>0x01010049A4C68B71894C40B50602D793BFC62C</vt:lpwstr>
  </property>
  <property fmtid="{D5CDD505-2E9C-101B-9397-08002B2CF9AE}" pid="13" name="MediaServiceImageTags">
    <vt:lpwstr/>
  </property>
</Properties>
</file>