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stateoforegon-my.sharepoint.com/personal/kari_shippen_oprd_oregon_gov/Documents/SCV and BEP Project/"/>
    </mc:Choice>
  </mc:AlternateContent>
  <xr:revisionPtr revIDLastSave="8" documentId="8_{48DF6AD6-E77E-4003-9AFD-27FD68FC2472}" xr6:coauthVersionLast="47" xr6:coauthVersionMax="47" xr10:uidLastSave="{7DDBFC02-F819-47A2-BE5E-85284DD51CBA}"/>
  <bookViews>
    <workbookView xWindow="750" yWindow="480" windowWidth="27495" windowHeight="15030" activeTab="2" xr2:uid="{4CA8CFDA-F471-4537-9508-0DF2CDB7EE83}"/>
  </bookViews>
  <sheets>
    <sheet name="Methodology" sheetId="4" r:id="rId1"/>
    <sheet name="Retain" sheetId="1" r:id="rId2"/>
    <sheet name="Transfer" sheetId="2" r:id="rId3"/>
    <sheet name="Dispose"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2" l="1"/>
  <c r="D16" i="2"/>
  <c r="N152" i="2" l="1"/>
  <c r="N151" i="2"/>
  <c r="M150" i="2"/>
  <c r="N150" i="2" s="1"/>
  <c r="M650" i="2"/>
  <c r="M33" i="1"/>
  <c r="M5" i="1"/>
  <c r="M214" i="1"/>
  <c r="M213" i="1"/>
  <c r="F213" i="1"/>
  <c r="N213" i="1" s="1"/>
  <c r="M621" i="2"/>
  <c r="M34" i="1"/>
  <c r="F14" i="1" l="1"/>
  <c r="N14" i="1" s="1"/>
  <c r="O71" i="3"/>
  <c r="F5" i="1"/>
  <c r="N5" i="1" s="1"/>
  <c r="O55" i="3"/>
  <c r="O54" i="3"/>
  <c r="O53" i="3"/>
  <c r="O52" i="3"/>
  <c r="O529" i="3"/>
  <c r="O528" i="3"/>
  <c r="O527" i="3"/>
  <c r="O526" i="3"/>
  <c r="O525" i="3"/>
  <c r="O524" i="3"/>
  <c r="O523" i="3"/>
  <c r="O522" i="3"/>
  <c r="O520" i="3"/>
  <c r="O519" i="3"/>
  <c r="O518" i="3"/>
  <c r="O517" i="3"/>
  <c r="O516" i="3"/>
  <c r="O515" i="3"/>
  <c r="O514" i="3"/>
  <c r="O513" i="3"/>
  <c r="O512" i="3"/>
  <c r="O511" i="3"/>
  <c r="O510" i="3"/>
  <c r="O509" i="3"/>
  <c r="O508" i="3"/>
  <c r="O507" i="3"/>
  <c r="O506" i="3"/>
  <c r="O505" i="3"/>
  <c r="O504" i="3"/>
  <c r="O503" i="3"/>
  <c r="O502" i="3"/>
  <c r="O499" i="3"/>
  <c r="O495" i="3"/>
  <c r="O494" i="3"/>
  <c r="O493" i="3"/>
  <c r="O492" i="3"/>
  <c r="O491" i="3"/>
  <c r="O490" i="3"/>
  <c r="O489" i="3"/>
  <c r="O488" i="3"/>
  <c r="O487" i="3"/>
  <c r="O486" i="3"/>
  <c r="O485" i="3"/>
  <c r="O484" i="3"/>
  <c r="O483" i="3"/>
  <c r="O482" i="3"/>
  <c r="O481" i="3"/>
  <c r="O480" i="3"/>
  <c r="O479" i="3"/>
  <c r="O10" i="3"/>
  <c r="O9" i="3"/>
  <c r="O8" i="3"/>
  <c r="O7" i="3"/>
  <c r="O6" i="3"/>
  <c r="O5" i="3"/>
  <c r="O3" i="3"/>
  <c r="O2" i="3"/>
  <c r="O12" i="3"/>
  <c r="O51"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65" i="3"/>
  <c r="O64" i="3"/>
  <c r="O63" i="3"/>
  <c r="O62" i="3"/>
  <c r="O61" i="3"/>
  <c r="O60" i="3"/>
  <c r="O59" i="3"/>
  <c r="O58" i="3"/>
  <c r="O57" i="3"/>
  <c r="O67" i="3"/>
  <c r="O89" i="3"/>
  <c r="O88" i="3"/>
  <c r="O87" i="3"/>
  <c r="O86" i="3"/>
  <c r="O85" i="3"/>
  <c r="O84" i="3"/>
  <c r="O83" i="3"/>
  <c r="O82" i="3"/>
  <c r="O81" i="3"/>
  <c r="O80" i="3"/>
  <c r="O79" i="3"/>
  <c r="O78" i="3"/>
  <c r="O77" i="3"/>
  <c r="O76" i="3"/>
  <c r="O75" i="3"/>
  <c r="O74" i="3"/>
  <c r="O73" i="3"/>
  <c r="O134" i="3"/>
  <c r="O133" i="3"/>
  <c r="O132" i="3"/>
  <c r="O131" i="3"/>
  <c r="O130" i="3"/>
  <c r="O129" i="3"/>
  <c r="O128" i="3"/>
  <c r="O127" i="3"/>
  <c r="O126" i="3"/>
  <c r="O125" i="3"/>
  <c r="O124" i="3"/>
  <c r="O123" i="3"/>
  <c r="O122" i="3"/>
  <c r="O121" i="3"/>
  <c r="O120" i="3"/>
  <c r="O119" i="3"/>
  <c r="O118" i="3"/>
  <c r="O117" i="3"/>
  <c r="O116" i="3"/>
  <c r="O115" i="3"/>
  <c r="O114" i="3"/>
  <c r="O113" i="3"/>
  <c r="O112" i="3"/>
  <c r="O111" i="3"/>
  <c r="O110" i="3"/>
  <c r="O109" i="3"/>
  <c r="O108" i="3"/>
  <c r="O107" i="3"/>
  <c r="O106" i="3"/>
  <c r="O105" i="3"/>
  <c r="O104" i="3"/>
  <c r="O103" i="3"/>
  <c r="O102" i="3"/>
  <c r="O101" i="3"/>
  <c r="O100" i="3"/>
  <c r="O99" i="3"/>
  <c r="O98" i="3"/>
  <c r="O97" i="3"/>
  <c r="O96" i="3"/>
  <c r="O95" i="3"/>
  <c r="O94" i="3"/>
  <c r="O93" i="3"/>
  <c r="O92" i="3"/>
  <c r="O91" i="3"/>
  <c r="O157" i="3"/>
  <c r="O156" i="3"/>
  <c r="O155" i="3"/>
  <c r="O154" i="3"/>
  <c r="O153" i="3"/>
  <c r="O152" i="3"/>
  <c r="O151" i="3"/>
  <c r="O150" i="3"/>
  <c r="O149" i="3"/>
  <c r="O148" i="3"/>
  <c r="O147" i="3"/>
  <c r="O146" i="3"/>
  <c r="O145" i="3"/>
  <c r="O144" i="3"/>
  <c r="O143" i="3"/>
  <c r="O142" i="3"/>
  <c r="O141" i="3"/>
  <c r="O140" i="3"/>
  <c r="O139" i="3"/>
  <c r="O136" i="3"/>
  <c r="O180" i="3"/>
  <c r="O178" i="3"/>
  <c r="O177" i="3"/>
  <c r="O176" i="3"/>
  <c r="O175" i="3"/>
  <c r="O174" i="3"/>
  <c r="O173" i="3"/>
  <c r="O172" i="3"/>
  <c r="O171" i="3"/>
  <c r="O170" i="3"/>
  <c r="O169" i="3"/>
  <c r="O168" i="3"/>
  <c r="O167" i="3"/>
  <c r="O166" i="3"/>
  <c r="O165" i="3"/>
  <c r="O164" i="3"/>
  <c r="O163" i="3"/>
  <c r="O162" i="3"/>
  <c r="O161" i="3"/>
  <c r="O160" i="3"/>
  <c r="O159" i="3"/>
  <c r="O192" i="3"/>
  <c r="O191" i="3"/>
  <c r="O190" i="3"/>
  <c r="O189" i="3"/>
  <c r="O188" i="3"/>
  <c r="O187" i="3"/>
  <c r="O186" i="3"/>
  <c r="O185" i="3"/>
  <c r="O184" i="3"/>
  <c r="O183" i="3"/>
  <c r="O182" i="3"/>
  <c r="O318" i="3"/>
  <c r="O317" i="3"/>
  <c r="O316" i="3"/>
  <c r="O315" i="3"/>
  <c r="O314" i="3"/>
  <c r="O313" i="3"/>
  <c r="O312" i="3"/>
  <c r="O311" i="3"/>
  <c r="O310" i="3"/>
  <c r="O309" i="3"/>
  <c r="O308" i="3"/>
  <c r="O307" i="3"/>
  <c r="O306" i="3"/>
  <c r="O305" i="3"/>
  <c r="O304" i="3"/>
  <c r="O303" i="3"/>
  <c r="O302" i="3"/>
  <c r="O301" i="3"/>
  <c r="O300" i="3"/>
  <c r="O299" i="3"/>
  <c r="O298" i="3"/>
  <c r="O297" i="3"/>
  <c r="O296" i="3"/>
  <c r="O295" i="3"/>
  <c r="O294" i="3"/>
  <c r="O293" i="3"/>
  <c r="O292" i="3"/>
  <c r="O291" i="3"/>
  <c r="O290" i="3"/>
  <c r="O289" i="3"/>
  <c r="O288" i="3"/>
  <c r="O287" i="3"/>
  <c r="O286" i="3"/>
  <c r="O285" i="3"/>
  <c r="O284" i="3"/>
  <c r="O283" i="3"/>
  <c r="O282" i="3"/>
  <c r="O281" i="3"/>
  <c r="O280" i="3"/>
  <c r="O279" i="3"/>
  <c r="O278" i="3"/>
  <c r="O277" i="3"/>
  <c r="O276" i="3"/>
  <c r="O275" i="3"/>
  <c r="O274" i="3"/>
  <c r="O273" i="3"/>
  <c r="O272" i="3"/>
  <c r="O271" i="3"/>
  <c r="O270" i="3"/>
  <c r="O269" i="3"/>
  <c r="O268" i="3"/>
  <c r="O267" i="3"/>
  <c r="O266" i="3"/>
  <c r="O265" i="3"/>
  <c r="O264" i="3"/>
  <c r="O263" i="3"/>
  <c r="O262" i="3"/>
  <c r="O261" i="3"/>
  <c r="O260" i="3"/>
  <c r="O259" i="3"/>
  <c r="O258" i="3"/>
  <c r="O257" i="3"/>
  <c r="O256" i="3"/>
  <c r="O255" i="3"/>
  <c r="O254" i="3"/>
  <c r="O253" i="3"/>
  <c r="O252" i="3"/>
  <c r="O251" i="3"/>
  <c r="O250" i="3"/>
  <c r="O249" i="3"/>
  <c r="O248" i="3"/>
  <c r="O247" i="3"/>
  <c r="O246" i="3"/>
  <c r="O245" i="3"/>
  <c r="O244" i="3"/>
  <c r="O243" i="3"/>
  <c r="O242" i="3"/>
  <c r="O241" i="3"/>
  <c r="O240" i="3"/>
  <c r="O239" i="3"/>
  <c r="O238" i="3"/>
  <c r="O237" i="3"/>
  <c r="O236" i="3"/>
  <c r="O235" i="3"/>
  <c r="O234" i="3"/>
  <c r="O233" i="3"/>
  <c r="O232" i="3"/>
  <c r="O231" i="3"/>
  <c r="O230" i="3"/>
  <c r="O229" i="3"/>
  <c r="O228" i="3"/>
  <c r="O227" i="3"/>
  <c r="O226" i="3"/>
  <c r="O225" i="3"/>
  <c r="O224" i="3"/>
  <c r="O223" i="3"/>
  <c r="O222" i="3"/>
  <c r="O221" i="3"/>
  <c r="O220" i="3"/>
  <c r="O219" i="3"/>
  <c r="O218" i="3"/>
  <c r="O217" i="3"/>
  <c r="O216" i="3"/>
  <c r="O215" i="3"/>
  <c r="O214" i="3"/>
  <c r="O213" i="3"/>
  <c r="O212" i="3"/>
  <c r="O211" i="3"/>
  <c r="O210" i="3"/>
  <c r="O209" i="3"/>
  <c r="O208" i="3"/>
  <c r="O207" i="3"/>
  <c r="O206" i="3"/>
  <c r="O205" i="3"/>
  <c r="O204" i="3"/>
  <c r="O203" i="3"/>
  <c r="O202" i="3"/>
  <c r="O201" i="3"/>
  <c r="O200" i="3"/>
  <c r="O199" i="3"/>
  <c r="O198" i="3"/>
  <c r="O197" i="3"/>
  <c r="O196" i="3"/>
  <c r="O195" i="3"/>
  <c r="O194" i="3"/>
  <c r="O414" i="3"/>
  <c r="O413" i="3"/>
  <c r="O412" i="3"/>
  <c r="O411" i="3"/>
  <c r="O410" i="3"/>
  <c r="O409" i="3"/>
  <c r="O408" i="3"/>
  <c r="O407" i="3"/>
  <c r="O406" i="3"/>
  <c r="O405" i="3"/>
  <c r="O404" i="3"/>
  <c r="O403" i="3"/>
  <c r="O402" i="3"/>
  <c r="O401" i="3"/>
  <c r="O400" i="3"/>
  <c r="O399" i="3"/>
  <c r="O398" i="3"/>
  <c r="O397" i="3"/>
  <c r="O396" i="3"/>
  <c r="O395" i="3"/>
  <c r="O394" i="3"/>
  <c r="O393" i="3"/>
  <c r="O392" i="3"/>
  <c r="O391" i="3"/>
  <c r="O390" i="3"/>
  <c r="O389" i="3"/>
  <c r="O388" i="3"/>
  <c r="O387" i="3"/>
  <c r="O386" i="3"/>
  <c r="O385" i="3"/>
  <c r="O384" i="3"/>
  <c r="O383" i="3"/>
  <c r="O382" i="3"/>
  <c r="O381" i="3"/>
  <c r="O380" i="3"/>
  <c r="O379" i="3"/>
  <c r="O378" i="3"/>
  <c r="O377" i="3"/>
  <c r="O376" i="3"/>
  <c r="O375" i="3"/>
  <c r="O374" i="3"/>
  <c r="O373" i="3"/>
  <c r="O372" i="3"/>
  <c r="O371" i="3"/>
  <c r="O370" i="3"/>
  <c r="O369" i="3"/>
  <c r="O368" i="3"/>
  <c r="O367" i="3"/>
  <c r="O366" i="3"/>
  <c r="O365" i="3"/>
  <c r="O364" i="3"/>
  <c r="O363" i="3"/>
  <c r="O362" i="3"/>
  <c r="O361" i="3"/>
  <c r="O360" i="3"/>
  <c r="O359" i="3"/>
  <c r="O358" i="3"/>
  <c r="O357" i="3"/>
  <c r="O356" i="3"/>
  <c r="O355" i="3"/>
  <c r="O354" i="3"/>
  <c r="O353" i="3"/>
  <c r="O352" i="3"/>
  <c r="O351" i="3"/>
  <c r="O350" i="3"/>
  <c r="O349" i="3"/>
  <c r="O348" i="3"/>
  <c r="O347" i="3"/>
  <c r="O346" i="3"/>
  <c r="O345" i="3"/>
  <c r="O344" i="3"/>
  <c r="O343" i="3"/>
  <c r="O342" i="3"/>
  <c r="O341" i="3"/>
  <c r="O340" i="3"/>
  <c r="O339" i="3"/>
  <c r="O338" i="3"/>
  <c r="O337" i="3"/>
  <c r="O336" i="3"/>
  <c r="O335" i="3"/>
  <c r="O334" i="3"/>
  <c r="O333" i="3"/>
  <c r="O332" i="3"/>
  <c r="O331" i="3"/>
  <c r="O330" i="3"/>
  <c r="O329" i="3"/>
  <c r="O328" i="3"/>
  <c r="O327" i="3"/>
  <c r="O326" i="3"/>
  <c r="O325" i="3"/>
  <c r="O324" i="3"/>
  <c r="O323" i="3"/>
  <c r="O322" i="3"/>
  <c r="O321" i="3"/>
  <c r="O454" i="3"/>
  <c r="O453" i="3"/>
  <c r="O452" i="3"/>
  <c r="O451" i="3"/>
  <c r="O450" i="3"/>
  <c r="O449" i="3"/>
  <c r="O448" i="3"/>
  <c r="O447" i="3"/>
  <c r="O446" i="3"/>
  <c r="O445" i="3"/>
  <c r="O444" i="3"/>
  <c r="O443" i="3"/>
  <c r="O442" i="3"/>
  <c r="O441" i="3"/>
  <c r="O440" i="3"/>
  <c r="O439" i="3"/>
  <c r="O438" i="3"/>
  <c r="O437" i="3"/>
  <c r="O436" i="3"/>
  <c r="O435" i="3"/>
  <c r="O434" i="3"/>
  <c r="O432" i="3"/>
  <c r="O431" i="3"/>
  <c r="O430" i="3"/>
  <c r="O429" i="3"/>
  <c r="O428" i="3"/>
  <c r="O427" i="3"/>
  <c r="O426" i="3"/>
  <c r="O425" i="3"/>
  <c r="O424" i="3"/>
  <c r="O423" i="3"/>
  <c r="O422" i="3"/>
  <c r="O421" i="3"/>
  <c r="O420" i="3"/>
  <c r="O419" i="3"/>
  <c r="O418" i="3"/>
  <c r="O417" i="3"/>
  <c r="O467" i="3"/>
  <c r="O466" i="3"/>
  <c r="O465" i="3"/>
  <c r="O464" i="3"/>
  <c r="O463" i="3"/>
  <c r="O462" i="3"/>
  <c r="O461" i="3"/>
  <c r="O457" i="3"/>
  <c r="O477" i="3"/>
  <c r="O476" i="3"/>
  <c r="O475" i="3"/>
  <c r="O474" i="3"/>
  <c r="O473" i="3"/>
  <c r="O472" i="3"/>
  <c r="O471" i="3"/>
  <c r="O470" i="3"/>
  <c r="O469" i="3"/>
  <c r="O478" i="3"/>
  <c r="F64" i="1"/>
  <c r="F45" i="1"/>
  <c r="F244" i="1"/>
  <c r="F16" i="2" l="1"/>
  <c r="N16" i="2" s="1"/>
  <c r="F839" i="2"/>
  <c r="N839" i="2" s="1"/>
  <c r="F838" i="2"/>
  <c r="N838" i="2" s="1"/>
  <c r="M836" i="2"/>
  <c r="M837" i="2"/>
  <c r="M835" i="2"/>
  <c r="M834" i="2"/>
  <c r="M833" i="2"/>
  <c r="M832" i="2"/>
  <c r="F837" i="2"/>
  <c r="F836" i="2"/>
  <c r="F835" i="2"/>
  <c r="F834" i="2"/>
  <c r="F833" i="2"/>
  <c r="F832" i="2"/>
  <c r="F831" i="2"/>
  <c r="N831" i="2" s="1"/>
  <c r="F829" i="2"/>
  <c r="N829" i="2" s="1"/>
  <c r="N822" i="2"/>
  <c r="M803" i="2"/>
  <c r="F803" i="2"/>
  <c r="M802" i="2"/>
  <c r="F802" i="2"/>
  <c r="M667" i="2"/>
  <c r="M757" i="2"/>
  <c r="M758" i="2"/>
  <c r="F758" i="2"/>
  <c r="F757" i="2"/>
  <c r="M791" i="2"/>
  <c r="N791" i="2" s="1"/>
  <c r="M678" i="2"/>
  <c r="N678" i="2" s="1"/>
  <c r="N679" i="2"/>
  <c r="M680" i="2"/>
  <c r="N680" i="2" s="1"/>
  <c r="N681" i="2"/>
  <c r="N682" i="2"/>
  <c r="F626" i="2"/>
  <c r="M626" i="2"/>
  <c r="F583" i="2"/>
  <c r="M583" i="2"/>
  <c r="F537" i="2"/>
  <c r="N537" i="2" s="1"/>
  <c r="F492" i="2"/>
  <c r="N492" i="2" s="1"/>
  <c r="M842" i="2"/>
  <c r="N833" i="2" l="1"/>
  <c r="N832" i="2"/>
  <c r="N834" i="2"/>
  <c r="N835" i="2"/>
  <c r="N803" i="2"/>
  <c r="N836" i="2"/>
  <c r="N837" i="2"/>
  <c r="N758" i="2"/>
  <c r="N802" i="2"/>
  <c r="N757" i="2"/>
  <c r="N626" i="2"/>
  <c r="N583" i="2"/>
  <c r="F245" i="1" l="1"/>
  <c r="N245" i="1" s="1"/>
  <c r="F269" i="1" l="1"/>
  <c r="F267" i="1"/>
  <c r="F266" i="1"/>
  <c r="F265" i="1"/>
  <c r="F264" i="1"/>
  <c r="F262" i="1"/>
  <c r="F261" i="1"/>
  <c r="F260" i="1"/>
  <c r="F259" i="1"/>
  <c r="F258" i="1"/>
  <c r="F257" i="1"/>
  <c r="F256" i="1"/>
  <c r="F255" i="1"/>
  <c r="F254" i="1"/>
  <c r="F253" i="1"/>
  <c r="F252" i="1"/>
  <c r="F251" i="1"/>
  <c r="F249" i="1"/>
  <c r="F248" i="1"/>
  <c r="F247" i="1"/>
  <c r="F243" i="1"/>
  <c r="F242" i="1"/>
  <c r="F241" i="1"/>
  <c r="F239" i="1"/>
  <c r="F238" i="1"/>
  <c r="F237" i="1"/>
  <c r="F236" i="1"/>
  <c r="F235" i="1"/>
  <c r="F234" i="1"/>
  <c r="F233" i="1"/>
  <c r="F232" i="1"/>
  <c r="F231" i="1"/>
  <c r="F230" i="1"/>
  <c r="F229" i="1"/>
  <c r="F228" i="1"/>
  <c r="F227" i="1"/>
  <c r="F225" i="1"/>
  <c r="F224" i="1"/>
  <c r="F223" i="1"/>
  <c r="F222" i="1"/>
  <c r="F221" i="1"/>
  <c r="F220" i="1"/>
  <c r="F219" i="1"/>
  <c r="F218" i="1"/>
  <c r="F217" i="1"/>
  <c r="F216" i="1"/>
  <c r="F214" i="1"/>
  <c r="F212" i="1"/>
  <c r="F211" i="1"/>
  <c r="F210" i="1"/>
  <c r="F209" i="1"/>
  <c r="F208" i="1"/>
  <c r="F207" i="1"/>
  <c r="F205" i="1"/>
  <c r="F204" i="1"/>
  <c r="F203" i="1"/>
  <c r="F202" i="1"/>
  <c r="F201" i="1"/>
  <c r="F200" i="1"/>
  <c r="F199" i="1"/>
  <c r="F198" i="1"/>
  <c r="F196" i="1"/>
  <c r="F195" i="1"/>
  <c r="F194" i="1"/>
  <c r="F193" i="1"/>
  <c r="F192" i="1"/>
  <c r="F191" i="1"/>
  <c r="F190" i="1"/>
  <c r="F189" i="1"/>
  <c r="F188" i="1"/>
  <c r="F186" i="1"/>
  <c r="F185" i="1"/>
  <c r="F184" i="1"/>
  <c r="F183" i="1"/>
  <c r="F182" i="1"/>
  <c r="F181" i="1"/>
  <c r="F180" i="1"/>
  <c r="F179" i="1"/>
  <c r="F178" i="1"/>
  <c r="F176" i="1"/>
  <c r="F175" i="1"/>
  <c r="F174" i="1"/>
  <c r="F173" i="1"/>
  <c r="F172" i="1"/>
  <c r="F171" i="1"/>
  <c r="F170" i="1"/>
  <c r="F169" i="1"/>
  <c r="F168" i="1"/>
  <c r="F166" i="1"/>
  <c r="F165" i="1"/>
  <c r="F164" i="1"/>
  <c r="F163" i="1"/>
  <c r="F162" i="1"/>
  <c r="F161" i="1"/>
  <c r="F160" i="1"/>
  <c r="F159" i="1"/>
  <c r="F158" i="1"/>
  <c r="F155" i="1"/>
  <c r="F154" i="1"/>
  <c r="F153" i="1"/>
  <c r="F152" i="1"/>
  <c r="F151" i="1"/>
  <c r="F150" i="1"/>
  <c r="F149" i="1"/>
  <c r="F148" i="1"/>
  <c r="F147" i="1"/>
  <c r="F146" i="1"/>
  <c r="F145" i="1"/>
  <c r="F144" i="1"/>
  <c r="F143" i="1"/>
  <c r="F142" i="1"/>
  <c r="F139" i="1"/>
  <c r="F138" i="1"/>
  <c r="F137" i="1"/>
  <c r="F136" i="1"/>
  <c r="F135" i="1"/>
  <c r="F134" i="1"/>
  <c r="F133" i="1"/>
  <c r="F132" i="1"/>
  <c r="F131" i="1"/>
  <c r="F130" i="1"/>
  <c r="F129" i="1"/>
  <c r="F128" i="1"/>
  <c r="F127" i="1"/>
  <c r="F126" i="1"/>
  <c r="F125" i="1"/>
  <c r="F122" i="1"/>
  <c r="F121" i="1"/>
  <c r="F120" i="1"/>
  <c r="F119" i="1"/>
  <c r="F118" i="1"/>
  <c r="F117" i="1"/>
  <c r="F115" i="1"/>
  <c r="F114" i="1"/>
  <c r="F113" i="1"/>
  <c r="F112" i="1"/>
  <c r="F111" i="1"/>
  <c r="F110" i="1"/>
  <c r="F108" i="1"/>
  <c r="F107" i="1"/>
  <c r="F106" i="1"/>
  <c r="F105" i="1"/>
  <c r="F104" i="1"/>
  <c r="F103" i="1"/>
  <c r="F101" i="1"/>
  <c r="F100" i="1"/>
  <c r="F99" i="1"/>
  <c r="F98" i="1"/>
  <c r="F97" i="1"/>
  <c r="F96" i="1"/>
  <c r="F94" i="1"/>
  <c r="F93" i="1"/>
  <c r="F92" i="1"/>
  <c r="F91" i="1"/>
  <c r="F90" i="1"/>
  <c r="F89" i="1"/>
  <c r="F87" i="1"/>
  <c r="F86" i="1"/>
  <c r="F85" i="1"/>
  <c r="F84" i="1"/>
  <c r="F83" i="1"/>
  <c r="F82" i="1"/>
  <c r="F80" i="1"/>
  <c r="F79" i="1"/>
  <c r="F78" i="1"/>
  <c r="F77" i="1"/>
  <c r="F76" i="1"/>
  <c r="F75" i="1"/>
  <c r="F73" i="1"/>
  <c r="F72" i="1"/>
  <c r="F71" i="1"/>
  <c r="F70" i="1"/>
  <c r="F69" i="1"/>
  <c r="F68" i="1"/>
  <c r="F65" i="1"/>
  <c r="F63" i="1"/>
  <c r="F62" i="1"/>
  <c r="F61" i="1"/>
  <c r="F60" i="1"/>
  <c r="F59" i="1"/>
  <c r="F58" i="1"/>
  <c r="F56" i="1"/>
  <c r="F55" i="1"/>
  <c r="F54" i="1"/>
  <c r="F53" i="1"/>
  <c r="F52" i="1"/>
  <c r="F51" i="1"/>
  <c r="F50" i="1"/>
  <c r="F49" i="1"/>
  <c r="F48" i="1"/>
  <c r="F46" i="1"/>
  <c r="F44" i="1"/>
  <c r="F43" i="1"/>
  <c r="F42" i="1"/>
  <c r="F41" i="1"/>
  <c r="F40" i="1"/>
  <c r="F39" i="1"/>
  <c r="F38" i="1"/>
  <c r="F37" i="1"/>
  <c r="F36" i="1"/>
  <c r="F35" i="1"/>
  <c r="F34" i="1"/>
  <c r="F33" i="1"/>
  <c r="F32" i="1"/>
  <c r="F31" i="1"/>
  <c r="F30" i="1"/>
  <c r="F29" i="1"/>
  <c r="F28" i="1"/>
  <c r="F27" i="1"/>
  <c r="F26" i="1"/>
  <c r="F25" i="1"/>
  <c r="F24" i="1"/>
  <c r="F23" i="1"/>
  <c r="F21" i="1"/>
  <c r="F20" i="1"/>
  <c r="F19" i="1"/>
  <c r="F18" i="1"/>
  <c r="F17" i="1"/>
  <c r="F15" i="1"/>
  <c r="F13" i="1"/>
  <c r="F12" i="1"/>
  <c r="F10" i="1"/>
  <c r="F9" i="1"/>
  <c r="F8" i="1"/>
  <c r="F7" i="1"/>
  <c r="F6" i="1"/>
  <c r="F4" i="1"/>
  <c r="F3" i="1"/>
  <c r="F2" i="1"/>
  <c r="F2" i="2"/>
  <c r="F873" i="2"/>
  <c r="F872" i="2"/>
  <c r="F871" i="2"/>
  <c r="F870" i="2"/>
  <c r="F868" i="2"/>
  <c r="F867" i="2"/>
  <c r="F866" i="2"/>
  <c r="F865" i="2"/>
  <c r="F864" i="2"/>
  <c r="F863" i="2"/>
  <c r="F861" i="2"/>
  <c r="F860" i="2"/>
  <c r="F859" i="2"/>
  <c r="F858" i="2"/>
  <c r="F856" i="2"/>
  <c r="F855" i="2"/>
  <c r="F853" i="2"/>
  <c r="F852" i="2"/>
  <c r="F851" i="2"/>
  <c r="F850" i="2"/>
  <c r="F849" i="2"/>
  <c r="F847" i="2"/>
  <c r="F846" i="2"/>
  <c r="F845" i="2"/>
  <c r="F844" i="2"/>
  <c r="F843" i="2"/>
  <c r="F842" i="2"/>
  <c r="F841" i="2"/>
  <c r="F840" i="2"/>
  <c r="F830" i="2"/>
  <c r="F828" i="2"/>
  <c r="F827" i="2"/>
  <c r="F826" i="2"/>
  <c r="F825" i="2"/>
  <c r="F824" i="2"/>
  <c r="F823" i="2"/>
  <c r="F821" i="2"/>
  <c r="F820" i="2"/>
  <c r="F819" i="2"/>
  <c r="F818" i="2"/>
  <c r="F817" i="2"/>
  <c r="F816" i="2"/>
  <c r="F815" i="2"/>
  <c r="F814" i="2"/>
  <c r="F813" i="2"/>
  <c r="F812" i="2"/>
  <c r="F811" i="2"/>
  <c r="F810" i="2"/>
  <c r="F809" i="2"/>
  <c r="F808" i="2"/>
  <c r="F807" i="2"/>
  <c r="F806" i="2"/>
  <c r="F805" i="2"/>
  <c r="F804" i="2"/>
  <c r="F800" i="2"/>
  <c r="F799" i="2"/>
  <c r="F798" i="2"/>
  <c r="F797" i="2"/>
  <c r="F796" i="2"/>
  <c r="F795" i="2"/>
  <c r="F794" i="2"/>
  <c r="F793" i="2"/>
  <c r="F790" i="2"/>
  <c r="F789" i="2"/>
  <c r="F788" i="2"/>
  <c r="F787" i="2"/>
  <c r="F786" i="2"/>
  <c r="F785" i="2"/>
  <c r="F784" i="2"/>
  <c r="F783" i="2"/>
  <c r="F782" i="2"/>
  <c r="F780" i="2"/>
  <c r="F779" i="2"/>
  <c r="F778" i="2"/>
  <c r="F776" i="2"/>
  <c r="F775" i="2"/>
  <c r="F774" i="2"/>
  <c r="F773" i="2"/>
  <c r="F771" i="2"/>
  <c r="F770" i="2"/>
  <c r="F769" i="2"/>
  <c r="F767" i="2"/>
  <c r="F766" i="2"/>
  <c r="F765" i="2"/>
  <c r="F764" i="2"/>
  <c r="F763" i="2"/>
  <c r="F762" i="2"/>
  <c r="F761" i="2"/>
  <c r="F756" i="2"/>
  <c r="F755" i="2"/>
  <c r="F754" i="2"/>
  <c r="F753" i="2"/>
  <c r="F752" i="2"/>
  <c r="F751" i="2"/>
  <c r="F750" i="2"/>
  <c r="F749" i="2"/>
  <c r="F748" i="2"/>
  <c r="F747" i="2"/>
  <c r="F746" i="2"/>
  <c r="F745" i="2"/>
  <c r="F744" i="2"/>
  <c r="F743" i="2"/>
  <c r="F741" i="2"/>
  <c r="F740" i="2"/>
  <c r="F739" i="2"/>
  <c r="F738" i="2"/>
  <c r="F737" i="2"/>
  <c r="F736" i="2"/>
  <c r="F735" i="2"/>
  <c r="F734" i="2"/>
  <c r="F733" i="2"/>
  <c r="F732" i="2"/>
  <c r="F731" i="2"/>
  <c r="F730" i="2"/>
  <c r="F729" i="2"/>
  <c r="F728" i="2"/>
  <c r="F727" i="2"/>
  <c r="F726" i="2"/>
  <c r="F725" i="2"/>
  <c r="F724" i="2"/>
  <c r="F677" i="2"/>
  <c r="F676" i="2"/>
  <c r="F675" i="2"/>
  <c r="F674" i="2"/>
  <c r="F673" i="2"/>
  <c r="F672" i="2"/>
  <c r="F671" i="2"/>
  <c r="F670" i="2"/>
  <c r="F669" i="2"/>
  <c r="F668" i="2"/>
  <c r="F667" i="2"/>
  <c r="F666" i="2"/>
  <c r="F665" i="2"/>
  <c r="F664" i="2"/>
  <c r="F663" i="2"/>
  <c r="F662" i="2"/>
  <c r="F661" i="2"/>
  <c r="F660" i="2"/>
  <c r="F701" i="2"/>
  <c r="F700" i="2"/>
  <c r="F699" i="2"/>
  <c r="F698" i="2"/>
  <c r="F697" i="2"/>
  <c r="F696" i="2"/>
  <c r="F695" i="2"/>
  <c r="F694" i="2"/>
  <c r="F693" i="2"/>
  <c r="F692" i="2"/>
  <c r="F691" i="2"/>
  <c r="F690" i="2"/>
  <c r="F689" i="2"/>
  <c r="F688" i="2"/>
  <c r="F687" i="2"/>
  <c r="F686" i="2"/>
  <c r="F685" i="2"/>
  <c r="F684" i="2"/>
  <c r="F722" i="2"/>
  <c r="F721" i="2"/>
  <c r="F720" i="2"/>
  <c r="F719" i="2"/>
  <c r="F718" i="2"/>
  <c r="F717" i="2"/>
  <c r="F716" i="2"/>
  <c r="F715" i="2"/>
  <c r="F714" i="2"/>
  <c r="F713" i="2"/>
  <c r="F712" i="2"/>
  <c r="F711" i="2"/>
  <c r="F710" i="2"/>
  <c r="F709" i="2"/>
  <c r="F708" i="2"/>
  <c r="F707" i="2"/>
  <c r="F706" i="2"/>
  <c r="F705" i="2"/>
  <c r="F704" i="2"/>
  <c r="F703"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5"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4" i="2"/>
  <c r="F253" i="2"/>
  <c r="F252" i="2"/>
  <c r="F251" i="2"/>
  <c r="F250" i="2"/>
  <c r="F249" i="2"/>
  <c r="F248" i="2"/>
  <c r="F247" i="2"/>
  <c r="F246" i="2"/>
  <c r="F245" i="2"/>
  <c r="F244" i="2"/>
  <c r="F243" i="2"/>
  <c r="F242" i="2"/>
  <c r="F241" i="2"/>
  <c r="F240" i="2"/>
  <c r="F239" i="2"/>
  <c r="F238" i="2"/>
  <c r="F237" i="2"/>
  <c r="F236"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N94" i="2" s="1"/>
  <c r="F93" i="2"/>
  <c r="F92" i="2"/>
  <c r="F91" i="2"/>
  <c r="F90" i="2"/>
  <c r="F89" i="2"/>
  <c r="F88" i="2"/>
  <c r="F87" i="2"/>
  <c r="F86" i="2"/>
  <c r="F85" i="2"/>
  <c r="F84" i="2"/>
  <c r="F83" i="2"/>
  <c r="F82" i="2"/>
  <c r="F81" i="2"/>
  <c r="F80" i="2"/>
  <c r="F79" i="2"/>
  <c r="F78"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1" i="2"/>
  <c r="F40" i="2"/>
  <c r="F39" i="2"/>
  <c r="F38" i="2"/>
  <c r="F37" i="2"/>
  <c r="F36" i="2"/>
  <c r="F35" i="2"/>
  <c r="F34" i="2"/>
  <c r="F33" i="2"/>
  <c r="F32" i="2"/>
  <c r="F31" i="2"/>
  <c r="F30" i="2"/>
  <c r="F29" i="2"/>
  <c r="F28" i="2"/>
  <c r="F27" i="2"/>
  <c r="F25" i="2"/>
  <c r="F24" i="2"/>
  <c r="F23" i="2"/>
  <c r="F22" i="2"/>
  <c r="F21" i="2"/>
  <c r="F20" i="2"/>
  <c r="F19" i="2"/>
  <c r="F18" i="2"/>
  <c r="F15" i="2"/>
  <c r="F14" i="2"/>
  <c r="F13" i="2"/>
  <c r="F12" i="2"/>
  <c r="F11" i="2"/>
  <c r="F10" i="2"/>
  <c r="F9" i="2"/>
  <c r="F8" i="2"/>
  <c r="F7" i="2"/>
  <c r="F6" i="2"/>
  <c r="F5" i="2"/>
  <c r="F4" i="2"/>
  <c r="N416" i="3"/>
  <c r="O416" i="3" s="1"/>
  <c r="M719" i="2"/>
  <c r="F3" i="2" l="1"/>
  <c r="N2" i="2"/>
  <c r="N229" i="1"/>
  <c r="N230" i="1"/>
  <c r="N196" i="1"/>
  <c r="N186" i="1"/>
  <c r="N176" i="1"/>
  <c r="N166" i="1"/>
  <c r="N40" i="1"/>
  <c r="M873" i="2"/>
  <c r="N873" i="2" s="1"/>
  <c r="N498" i="3"/>
  <c r="O498" i="3" s="1"/>
  <c r="N497" i="3"/>
  <c r="O497" i="3" s="1"/>
  <c r="N496" i="3"/>
  <c r="O496" i="3" s="1"/>
  <c r="M856" i="2"/>
  <c r="N856" i="2" s="1"/>
  <c r="N433" i="3"/>
  <c r="O433" i="3" s="1"/>
  <c r="N137" i="3"/>
  <c r="O137" i="3" s="1"/>
  <c r="M753" i="2"/>
  <c r="N753" i="2" s="1"/>
  <c r="M722" i="2"/>
  <c r="N722" i="2" s="1"/>
  <c r="M700" i="2"/>
  <c r="N700" i="2" s="1"/>
  <c r="N696" i="2"/>
  <c r="M698" i="2"/>
  <c r="N698" i="2" s="1"/>
  <c r="M133" i="2"/>
  <c r="N133" i="2" s="1"/>
  <c r="M674" i="2"/>
  <c r="M673" i="2"/>
  <c r="N70" i="3"/>
  <c r="O70" i="3" s="1"/>
  <c r="N69" i="3"/>
  <c r="O69" i="3" s="1"/>
  <c r="N68" i="3"/>
  <c r="O68" i="3" s="1"/>
  <c r="M653" i="2"/>
  <c r="N653" i="2" s="1"/>
  <c r="M651" i="2"/>
  <c r="N651" i="2" s="1"/>
  <c r="M620" i="2"/>
  <c r="N620" i="2" s="1"/>
  <c r="M618" i="2"/>
  <c r="N618" i="2" s="1"/>
  <c r="M617" i="2"/>
  <c r="N617" i="2" s="1"/>
  <c r="M576" i="2"/>
  <c r="N576" i="2" s="1"/>
  <c r="M573" i="2"/>
  <c r="N573" i="2" s="1"/>
  <c r="M574" i="2"/>
  <c r="N574" i="2" s="1"/>
  <c r="M532" i="2"/>
  <c r="N532" i="2" s="1"/>
  <c r="M530" i="2"/>
  <c r="N530" i="2" s="1"/>
  <c r="M529" i="2"/>
  <c r="N529" i="2" s="1"/>
  <c r="M488" i="2"/>
  <c r="N488" i="2" s="1"/>
  <c r="M486" i="2"/>
  <c r="N486" i="2" s="1"/>
  <c r="M485" i="2"/>
  <c r="N485" i="2" s="1"/>
  <c r="M446" i="2"/>
  <c r="N446" i="2" s="1"/>
  <c r="M420" i="2"/>
  <c r="N420" i="2" s="1"/>
  <c r="M393" i="2"/>
  <c r="N393" i="2" s="1"/>
  <c r="M369" i="2"/>
  <c r="N369" i="2" s="1"/>
  <c r="M253" i="2"/>
  <c r="N253" i="2" s="1"/>
  <c r="M167" i="2"/>
  <c r="N167" i="2" s="1"/>
  <c r="M166" i="2"/>
  <c r="N166" i="2" s="1"/>
  <c r="N165" i="2"/>
  <c r="M164" i="2"/>
  <c r="N164" i="2" s="1"/>
  <c r="M163" i="2"/>
  <c r="N163" i="2" s="1"/>
  <c r="M162" i="2"/>
  <c r="N162" i="2" s="1"/>
  <c r="M159" i="2"/>
  <c r="N159" i="2" s="1"/>
  <c r="M155" i="2"/>
  <c r="N155" i="2" s="1"/>
  <c r="M154" i="2"/>
  <c r="N154" i="2" s="1"/>
  <c r="M149" i="2"/>
  <c r="N149" i="2" s="1"/>
  <c r="M148" i="2"/>
  <c r="N148" i="2" s="1"/>
  <c r="M147" i="2"/>
  <c r="N147" i="2" s="1"/>
  <c r="M144" i="2"/>
  <c r="N144" i="2" s="1"/>
  <c r="M143" i="2"/>
  <c r="N143" i="2" s="1"/>
  <c r="M142" i="2"/>
  <c r="N142" i="2" s="1"/>
  <c r="M140" i="2"/>
  <c r="N161" i="2"/>
  <c r="N160" i="2"/>
  <c r="N158" i="2"/>
  <c r="N157" i="2"/>
  <c r="N156" i="2"/>
  <c r="N153" i="2"/>
  <c r="N146" i="2"/>
  <c r="N145" i="2"/>
  <c r="M141" i="2"/>
  <c r="N141" i="2" s="1"/>
  <c r="M75" i="2"/>
  <c r="N75" i="2" s="1"/>
  <c r="M73" i="2"/>
  <c r="N73" i="2" s="1"/>
  <c r="M70" i="2"/>
  <c r="N70" i="2" s="1"/>
  <c r="M31" i="2"/>
  <c r="N31" i="2" s="1"/>
  <c r="M14" i="2"/>
  <c r="N14" i="2" s="1"/>
  <c r="M13" i="2"/>
  <c r="N13" i="2" s="1"/>
  <c r="M12" i="2"/>
  <c r="N12" i="2" s="1"/>
  <c r="M11" i="2"/>
  <c r="N11" i="2" s="1"/>
  <c r="M10" i="2"/>
  <c r="N10" i="2" s="1"/>
  <c r="N755" i="2"/>
  <c r="N754" i="2"/>
  <c r="N721" i="2"/>
  <c r="N657" i="2"/>
  <c r="N654" i="2"/>
  <c r="N652" i="2"/>
  <c r="N650" i="2"/>
  <c r="N623" i="2"/>
  <c r="N581" i="2"/>
  <c r="N536" i="2"/>
  <c r="N517" i="2"/>
  <c r="N447" i="2"/>
  <c r="N445" i="2"/>
  <c r="N444" i="2"/>
  <c r="N443" i="2"/>
  <c r="N421" i="2"/>
  <c r="N419" i="2"/>
  <c r="N418" i="2"/>
  <c r="N417" i="2"/>
  <c r="N394" i="2"/>
  <c r="N392" i="2"/>
  <c r="N391" i="2"/>
  <c r="N370" i="2"/>
  <c r="N368" i="2"/>
  <c r="N367" i="2"/>
  <c r="N366" i="2"/>
  <c r="N342" i="2"/>
  <c r="N341" i="2"/>
  <c r="N340" i="2"/>
  <c r="N339" i="2"/>
  <c r="N338" i="2"/>
  <c r="N337" i="2"/>
  <c r="N329" i="2"/>
  <c r="N328" i="2"/>
  <c r="N327" i="2"/>
  <c r="N326" i="2"/>
  <c r="N325" i="2"/>
  <c r="N324" i="2"/>
  <c r="N319" i="2"/>
  <c r="N318" i="2"/>
  <c r="N317" i="2"/>
  <c r="N316" i="2"/>
  <c r="N315" i="2"/>
  <c r="N313" i="2"/>
  <c r="N311" i="2"/>
  <c r="N310" i="2"/>
  <c r="N309" i="2"/>
  <c r="N308" i="2"/>
  <c r="N307" i="2"/>
  <c r="N302" i="2"/>
  <c r="N301" i="2"/>
  <c r="N300" i="2"/>
  <c r="N299" i="2"/>
  <c r="N298" i="2"/>
  <c r="N297" i="2"/>
  <c r="N291" i="2"/>
  <c r="N290" i="2"/>
  <c r="N289" i="2"/>
  <c r="N288" i="2"/>
  <c r="N287" i="2"/>
  <c r="N286" i="2"/>
  <c r="N281" i="2"/>
  <c r="N279" i="2"/>
  <c r="N278" i="2"/>
  <c r="N277" i="2"/>
  <c r="N276" i="2"/>
  <c r="N269" i="2"/>
  <c r="N267" i="2"/>
  <c r="N266" i="2"/>
  <c r="N265" i="2"/>
  <c r="N264" i="2"/>
  <c r="N254" i="2"/>
  <c r="N252" i="2"/>
  <c r="N251" i="2"/>
  <c r="N76" i="2"/>
  <c r="N74" i="2"/>
  <c r="N72" i="2"/>
  <c r="N71" i="2"/>
  <c r="N69" i="2"/>
  <c r="N32" i="2"/>
  <c r="N29" i="2"/>
  <c r="N27" i="2"/>
  <c r="N25" i="2"/>
  <c r="N24" i="2"/>
  <c r="N15" i="2"/>
  <c r="M775" i="2"/>
  <c r="M774" i="2"/>
  <c r="M773" i="2"/>
  <c r="N179" i="3"/>
  <c r="O179" i="3" s="1"/>
  <c r="N4" i="3" l="1"/>
  <c r="O4" i="3" s="1"/>
  <c r="M479" i="2"/>
  <c r="N442" i="2" l="1"/>
  <c r="N416" i="2"/>
  <c r="N389" i="2"/>
  <c r="M238" i="1" l="1"/>
  <c r="N238" i="1" s="1"/>
  <c r="M225" i="1"/>
  <c r="N225" i="1" s="1"/>
  <c r="M282" i="2"/>
  <c r="N282" i="2" s="1"/>
  <c r="M283" i="2"/>
  <c r="N283" i="2" s="1"/>
  <c r="M284" i="2"/>
  <c r="N284" i="2" s="1"/>
  <c r="M268" i="2"/>
  <c r="N268" i="2" s="1"/>
  <c r="N66" i="2"/>
  <c r="N4" i="1"/>
  <c r="N6" i="1"/>
  <c r="N3" i="1"/>
  <c r="N2" i="1"/>
  <c r="N460" i="3"/>
  <c r="O460" i="3" s="1"/>
  <c r="N459" i="3"/>
  <c r="O459" i="3" s="1"/>
  <c r="N458" i="3"/>
  <c r="O458" i="3" s="1"/>
  <c r="N138" i="3"/>
  <c r="O138" i="3" s="1"/>
  <c r="N43" i="1"/>
  <c r="N110" i="2"/>
  <c r="M222" i="2"/>
  <c r="N222" i="2" s="1"/>
  <c r="M737" i="2"/>
  <c r="N737" i="2" s="1"/>
  <c r="M112" i="2"/>
  <c r="N112" i="2" s="1"/>
  <c r="M826" i="2"/>
  <c r="N826" i="2" s="1"/>
  <c r="M824" i="2"/>
  <c r="N824" i="2" s="1"/>
  <c r="M87" i="2"/>
  <c r="N87" i="2" s="1"/>
  <c r="M825" i="2"/>
  <c r="N825" i="2" s="1"/>
  <c r="M169" i="2"/>
  <c r="N169" i="2" s="1"/>
  <c r="N41" i="1"/>
  <c r="N44" i="1"/>
  <c r="M265" i="1"/>
  <c r="N265" i="1" s="1"/>
  <c r="N264" i="1"/>
  <c r="M269" i="1"/>
  <c r="N269" i="1" s="1"/>
  <c r="N249" i="1"/>
  <c r="N248" i="1"/>
  <c r="N247" i="1"/>
  <c r="N243" i="1"/>
  <c r="N242" i="1"/>
  <c r="N241" i="1"/>
  <c r="M236" i="1"/>
  <c r="N236" i="1" s="1"/>
  <c r="N237" i="1"/>
  <c r="M235" i="1"/>
  <c r="N235" i="1" s="1"/>
  <c r="N234" i="1"/>
  <c r="N233" i="1"/>
  <c r="N232" i="1"/>
  <c r="M231" i="1"/>
  <c r="N231" i="1" s="1"/>
  <c r="N228" i="1"/>
  <c r="M227" i="1"/>
  <c r="N227" i="1" s="1"/>
  <c r="N224" i="1"/>
  <c r="N223" i="1"/>
  <c r="N222" i="1"/>
  <c r="N221" i="1"/>
  <c r="N220" i="1"/>
  <c r="N219" i="1"/>
  <c r="N218" i="1"/>
  <c r="N217" i="1"/>
  <c r="M216" i="1"/>
  <c r="N216" i="1" s="1"/>
  <c r="N214" i="1"/>
  <c r="N212" i="1"/>
  <c r="M210" i="1"/>
  <c r="N210" i="1" s="1"/>
  <c r="M209" i="1"/>
  <c r="N209" i="1" s="1"/>
  <c r="N208" i="1"/>
  <c r="N207" i="1"/>
  <c r="N205" i="1"/>
  <c r="N204" i="1"/>
  <c r="M203" i="1"/>
  <c r="N203" i="1" s="1"/>
  <c r="N202" i="1"/>
  <c r="N201" i="1"/>
  <c r="N200" i="1"/>
  <c r="N199" i="1"/>
  <c r="M198" i="1"/>
  <c r="N198" i="1" s="1"/>
  <c r="N189" i="1"/>
  <c r="N179" i="1"/>
  <c r="N171" i="1"/>
  <c r="N161" i="1"/>
  <c r="M185" i="1"/>
  <c r="N185" i="1" s="1"/>
  <c r="N184" i="1"/>
  <c r="N183" i="1"/>
  <c r="N182" i="1"/>
  <c r="M181" i="1"/>
  <c r="N181" i="1" s="1"/>
  <c r="M180" i="1"/>
  <c r="N180" i="1" s="1"/>
  <c r="N178" i="1"/>
  <c r="M195" i="1"/>
  <c r="N195" i="1" s="1"/>
  <c r="N194" i="1"/>
  <c r="N193" i="1"/>
  <c r="N192" i="1"/>
  <c r="M191" i="1"/>
  <c r="N191" i="1" s="1"/>
  <c r="M190" i="1"/>
  <c r="N190" i="1" s="1"/>
  <c r="N188" i="1"/>
  <c r="M175" i="1"/>
  <c r="N175" i="1" s="1"/>
  <c r="N174" i="1"/>
  <c r="N173" i="1"/>
  <c r="N172" i="1"/>
  <c r="M170" i="1"/>
  <c r="N170" i="1" s="1"/>
  <c r="M169" i="1"/>
  <c r="N169" i="1" s="1"/>
  <c r="N168" i="1"/>
  <c r="M165" i="1"/>
  <c r="N165" i="1" s="1"/>
  <c r="N164" i="1"/>
  <c r="N163" i="1"/>
  <c r="N162" i="1"/>
  <c r="M160" i="1"/>
  <c r="N160" i="1" s="1"/>
  <c r="M159" i="1"/>
  <c r="N159" i="1" s="1"/>
  <c r="N158" i="1"/>
  <c r="N155" i="1"/>
  <c r="N154" i="1"/>
  <c r="M153" i="1"/>
  <c r="N153" i="1" s="1"/>
  <c r="N152" i="1"/>
  <c r="N151" i="1"/>
  <c r="N150" i="1"/>
  <c r="N149" i="1"/>
  <c r="N148" i="1"/>
  <c r="N147" i="1"/>
  <c r="M146" i="1"/>
  <c r="N146" i="1" s="1"/>
  <c r="N145" i="1"/>
  <c r="N144" i="1"/>
  <c r="N143" i="1"/>
  <c r="N142" i="1"/>
  <c r="N139" i="1"/>
  <c r="N138" i="1"/>
  <c r="N137" i="1"/>
  <c r="M136" i="1"/>
  <c r="N136" i="1" s="1"/>
  <c r="N135" i="1"/>
  <c r="N134" i="1"/>
  <c r="N133" i="1"/>
  <c r="N132" i="1"/>
  <c r="N131" i="1"/>
  <c r="N130" i="1"/>
  <c r="M129" i="1"/>
  <c r="N129" i="1" s="1"/>
  <c r="N128" i="1"/>
  <c r="N127" i="1"/>
  <c r="N126" i="1"/>
  <c r="N125" i="1"/>
  <c r="N122" i="1"/>
  <c r="N121" i="1"/>
  <c r="N120" i="1"/>
  <c r="N119" i="1"/>
  <c r="N118" i="1"/>
  <c r="N117" i="1"/>
  <c r="N115" i="1"/>
  <c r="N114" i="1"/>
  <c r="N113" i="1"/>
  <c r="N112" i="1"/>
  <c r="N111" i="1"/>
  <c r="N110" i="1"/>
  <c r="N108" i="1"/>
  <c r="N107" i="1"/>
  <c r="N106" i="1"/>
  <c r="N105" i="1"/>
  <c r="N104" i="1"/>
  <c r="N103" i="1"/>
  <c r="N101" i="1"/>
  <c r="N100" i="1"/>
  <c r="N99" i="1"/>
  <c r="N98" i="1"/>
  <c r="N97" i="1"/>
  <c r="N96" i="1"/>
  <c r="N94" i="1"/>
  <c r="N93" i="1"/>
  <c r="N92" i="1"/>
  <c r="N91" i="1"/>
  <c r="N90" i="1"/>
  <c r="N89" i="1"/>
  <c r="N87" i="1"/>
  <c r="N86" i="1"/>
  <c r="N85" i="1"/>
  <c r="N84" i="1"/>
  <c r="N83" i="1"/>
  <c r="N82" i="1"/>
  <c r="N80" i="1"/>
  <c r="N79" i="1"/>
  <c r="N78" i="1"/>
  <c r="N77" i="1"/>
  <c r="N76" i="1"/>
  <c r="N75" i="1"/>
  <c r="N73" i="1"/>
  <c r="N72" i="1"/>
  <c r="N71" i="1"/>
  <c r="N70" i="1"/>
  <c r="N69" i="1"/>
  <c r="N68" i="1"/>
  <c r="N65" i="1"/>
  <c r="M61" i="1"/>
  <c r="N61" i="1" s="1"/>
  <c r="N60" i="1"/>
  <c r="N59" i="1"/>
  <c r="N58" i="1"/>
  <c r="N56" i="1"/>
  <c r="N55" i="1"/>
  <c r="N53" i="1"/>
  <c r="N52" i="1"/>
  <c r="N51" i="1"/>
  <c r="N50" i="1"/>
  <c r="N49" i="1"/>
  <c r="N48" i="1"/>
  <c r="M54" i="1"/>
  <c r="N54" i="1" s="1"/>
  <c r="N39" i="1"/>
  <c r="M38" i="1"/>
  <c r="N38" i="1" s="1"/>
  <c r="M37" i="1"/>
  <c r="N37" i="1" s="1"/>
  <c r="M36" i="1"/>
  <c r="N36" i="1" s="1"/>
  <c r="M35" i="1"/>
  <c r="N35" i="1" s="1"/>
  <c r="N34" i="1"/>
  <c r="N33" i="1"/>
  <c r="N32" i="1"/>
  <c r="N31" i="1"/>
  <c r="N30" i="1"/>
  <c r="N29" i="1"/>
  <c r="N28" i="1"/>
  <c r="N27" i="1"/>
  <c r="N26" i="1"/>
  <c r="N25" i="1"/>
  <c r="N24" i="1"/>
  <c r="N23" i="1"/>
  <c r="N21" i="1"/>
  <c r="N20" i="1"/>
  <c r="N19" i="1"/>
  <c r="N18" i="1"/>
  <c r="N17" i="1"/>
  <c r="N872" i="2"/>
  <c r="M871" i="2"/>
  <c r="N871" i="2" s="1"/>
  <c r="M870" i="2"/>
  <c r="N870" i="2" s="1"/>
  <c r="M868" i="2"/>
  <c r="N868" i="2" s="1"/>
  <c r="M867" i="2"/>
  <c r="N867" i="2" s="1"/>
  <c r="M866" i="2"/>
  <c r="N866" i="2" s="1"/>
  <c r="N865" i="2"/>
  <c r="M864" i="2"/>
  <c r="N864" i="2" s="1"/>
  <c r="N863" i="2"/>
  <c r="N861" i="2"/>
  <c r="M860" i="2"/>
  <c r="N860" i="2" s="1"/>
  <c r="N859" i="2"/>
  <c r="N858" i="2"/>
  <c r="N855" i="2"/>
  <c r="N853" i="2"/>
  <c r="M852" i="2"/>
  <c r="N852" i="2" s="1"/>
  <c r="N851" i="2"/>
  <c r="N850" i="2"/>
  <c r="N849" i="2"/>
  <c r="N847" i="2"/>
  <c r="N846" i="2"/>
  <c r="M845" i="2"/>
  <c r="N845" i="2" s="1"/>
  <c r="M843" i="2"/>
  <c r="N843" i="2" s="1"/>
  <c r="N842" i="2"/>
  <c r="M841" i="2"/>
  <c r="N841" i="2" s="1"/>
  <c r="M840" i="2"/>
  <c r="N840" i="2" s="1"/>
  <c r="M830" i="2"/>
  <c r="N830" i="2" s="1"/>
  <c r="M828" i="2"/>
  <c r="N828" i="2" s="1"/>
  <c r="N827" i="2"/>
  <c r="M823" i="2"/>
  <c r="N823" i="2" s="1"/>
  <c r="M821" i="2"/>
  <c r="N821" i="2" s="1"/>
  <c r="M820" i="2"/>
  <c r="N820" i="2" s="1"/>
  <c r="M819" i="2"/>
  <c r="N819" i="2" s="1"/>
  <c r="M818" i="2"/>
  <c r="N818" i="2" s="1"/>
  <c r="N817" i="2"/>
  <c r="M816" i="2"/>
  <c r="N816" i="2" s="1"/>
  <c r="M815" i="2"/>
  <c r="N815" i="2" s="1"/>
  <c r="N814" i="2"/>
  <c r="N813" i="2"/>
  <c r="M812" i="2"/>
  <c r="N812" i="2" s="1"/>
  <c r="N811" i="2"/>
  <c r="M810" i="2"/>
  <c r="N810" i="2" s="1"/>
  <c r="M809" i="2"/>
  <c r="N809" i="2" s="1"/>
  <c r="M808" i="2"/>
  <c r="N808" i="2" s="1"/>
  <c r="M807" i="2"/>
  <c r="N807" i="2" s="1"/>
  <c r="M806" i="2"/>
  <c r="N806" i="2" s="1"/>
  <c r="M805" i="2"/>
  <c r="N805" i="2" s="1"/>
  <c r="N804" i="2"/>
  <c r="N799" i="2"/>
  <c r="M800" i="2"/>
  <c r="N800" i="2" s="1"/>
  <c r="M798" i="2"/>
  <c r="N798" i="2" s="1"/>
  <c r="M797" i="2"/>
  <c r="N797" i="2" s="1"/>
  <c r="M796" i="2"/>
  <c r="N796" i="2" s="1"/>
  <c r="M795" i="2"/>
  <c r="N795" i="2" s="1"/>
  <c r="M794" i="2"/>
  <c r="N794" i="2" s="1"/>
  <c r="M793" i="2"/>
  <c r="N793" i="2" s="1"/>
  <c r="M790" i="2"/>
  <c r="N790" i="2" s="1"/>
  <c r="M789" i="2"/>
  <c r="N789" i="2" s="1"/>
  <c r="M788" i="2"/>
  <c r="N788" i="2" s="1"/>
  <c r="M787" i="2"/>
  <c r="N787" i="2" s="1"/>
  <c r="M786" i="2"/>
  <c r="N786" i="2" s="1"/>
  <c r="M785" i="2"/>
  <c r="N785" i="2" s="1"/>
  <c r="M784" i="2"/>
  <c r="N784" i="2" s="1"/>
  <c r="M783" i="2"/>
  <c r="N783" i="2" s="1"/>
  <c r="N782" i="2"/>
  <c r="M780" i="2"/>
  <c r="N780" i="2" s="1"/>
  <c r="M779" i="2"/>
  <c r="N779" i="2" s="1"/>
  <c r="M778" i="2"/>
  <c r="N778" i="2" s="1"/>
  <c r="M776" i="2"/>
  <c r="N776" i="2" s="1"/>
  <c r="N775" i="2"/>
  <c r="N774" i="2"/>
  <c r="N773" i="2"/>
  <c r="M771" i="2"/>
  <c r="N771" i="2" s="1"/>
  <c r="M770" i="2"/>
  <c r="N770" i="2" s="1"/>
  <c r="M769" i="2"/>
  <c r="N769" i="2" s="1"/>
  <c r="M767" i="2"/>
  <c r="N767" i="2" s="1"/>
  <c r="M766" i="2"/>
  <c r="N766" i="2" s="1"/>
  <c r="M765" i="2"/>
  <c r="N765" i="2" s="1"/>
  <c r="M764" i="2"/>
  <c r="N764" i="2" s="1"/>
  <c r="M763" i="2"/>
  <c r="N763" i="2" s="1"/>
  <c r="M762" i="2"/>
  <c r="N762" i="2" s="1"/>
  <c r="M761" i="2"/>
  <c r="N761" i="2" s="1"/>
  <c r="N756" i="2"/>
  <c r="N752" i="2"/>
  <c r="N751" i="2"/>
  <c r="N750" i="2"/>
  <c r="N748" i="2"/>
  <c r="M747" i="2"/>
  <c r="N747" i="2" s="1"/>
  <c r="N746" i="2"/>
  <c r="N745" i="2"/>
  <c r="M744" i="2"/>
  <c r="N744" i="2" s="1"/>
  <c r="N743" i="2"/>
  <c r="N741" i="2"/>
  <c r="N740" i="2"/>
  <c r="N739" i="2"/>
  <c r="N738" i="2"/>
  <c r="N736" i="2"/>
  <c r="N735" i="2"/>
  <c r="N733" i="2"/>
  <c r="N731" i="2"/>
  <c r="N727" i="2"/>
  <c r="N726" i="2"/>
  <c r="M734" i="2"/>
  <c r="N734" i="2" s="1"/>
  <c r="M732" i="2"/>
  <c r="N732" i="2" s="1"/>
  <c r="M730" i="2"/>
  <c r="N730" i="2" s="1"/>
  <c r="M729" i="2"/>
  <c r="N729" i="2" s="1"/>
  <c r="M728" i="2"/>
  <c r="N728" i="2" s="1"/>
  <c r="M725" i="2"/>
  <c r="N725" i="2" s="1"/>
  <c r="M724" i="2"/>
  <c r="N724" i="2" s="1"/>
  <c r="N718" i="2"/>
  <c r="N717" i="2"/>
  <c r="M720" i="2"/>
  <c r="N720" i="2" s="1"/>
  <c r="N719" i="2"/>
  <c r="N716" i="2"/>
  <c r="N715" i="2"/>
  <c r="N714" i="2"/>
  <c r="N713" i="2"/>
  <c r="M712" i="2"/>
  <c r="N712" i="2" s="1"/>
  <c r="N711" i="2"/>
  <c r="M710" i="2"/>
  <c r="N710" i="2" s="1"/>
  <c r="N709" i="2"/>
  <c r="N708" i="2"/>
  <c r="M707" i="2"/>
  <c r="N707" i="2" s="1"/>
  <c r="M706" i="2"/>
  <c r="N706" i="2" s="1"/>
  <c r="N705" i="2"/>
  <c r="M704" i="2"/>
  <c r="N704" i="2" s="1"/>
  <c r="M703" i="2"/>
  <c r="N703" i="2" s="1"/>
  <c r="N701" i="2"/>
  <c r="N699" i="2"/>
  <c r="M697" i="2"/>
  <c r="N697" i="2" s="1"/>
  <c r="N695" i="2"/>
  <c r="N694" i="2"/>
  <c r="M693" i="2"/>
  <c r="N693" i="2" s="1"/>
  <c r="N692" i="2"/>
  <c r="N691" i="2"/>
  <c r="N690" i="2"/>
  <c r="M689" i="2"/>
  <c r="N689" i="2" s="1"/>
  <c r="M688" i="2"/>
  <c r="N688" i="2" s="1"/>
  <c r="M687" i="2"/>
  <c r="N687" i="2" s="1"/>
  <c r="N686" i="2"/>
  <c r="M685" i="2"/>
  <c r="N685" i="2" s="1"/>
  <c r="N684" i="2"/>
  <c r="N677" i="2"/>
  <c r="N676" i="2"/>
  <c r="N675" i="2"/>
  <c r="N674" i="2"/>
  <c r="N673" i="2"/>
  <c r="N672" i="2"/>
  <c r="M671" i="2"/>
  <c r="N671" i="2" s="1"/>
  <c r="N670" i="2"/>
  <c r="N669" i="2"/>
  <c r="N668" i="2"/>
  <c r="N667" i="2"/>
  <c r="N666" i="2"/>
  <c r="M665" i="2"/>
  <c r="N665" i="2" s="1"/>
  <c r="N664" i="2"/>
  <c r="M663" i="2"/>
  <c r="N663" i="2" s="1"/>
  <c r="M662" i="2"/>
  <c r="N662" i="2" s="1"/>
  <c r="N661" i="2"/>
  <c r="M660" i="2"/>
  <c r="N660" i="2" s="1"/>
  <c r="M645" i="2"/>
  <c r="N645" i="2" s="1"/>
  <c r="N658" i="2"/>
  <c r="N656" i="2"/>
  <c r="N655" i="2"/>
  <c r="N649" i="2"/>
  <c r="N648" i="2"/>
  <c r="N647" i="2"/>
  <c r="M646" i="2"/>
  <c r="N646" i="2" s="1"/>
  <c r="M644" i="2"/>
  <c r="N644" i="2" s="1"/>
  <c r="N643" i="2"/>
  <c r="N642" i="2"/>
  <c r="M641" i="2"/>
  <c r="N641" i="2" s="1"/>
  <c r="N640" i="2"/>
  <c r="N639" i="2"/>
  <c r="N638" i="2"/>
  <c r="N637" i="2"/>
  <c r="N636" i="2"/>
  <c r="M635" i="2"/>
  <c r="N635" i="2" s="1"/>
  <c r="N634" i="2"/>
  <c r="M633" i="2"/>
  <c r="N633" i="2" s="1"/>
  <c r="N632" i="2"/>
  <c r="N631" i="2"/>
  <c r="N630" i="2"/>
  <c r="N629" i="2"/>
  <c r="N628" i="2"/>
  <c r="N627" i="2"/>
  <c r="M625" i="2"/>
  <c r="N625" i="2" s="1"/>
  <c r="N622" i="2"/>
  <c r="N621" i="2"/>
  <c r="N619" i="2"/>
  <c r="N616" i="2"/>
  <c r="N615" i="2"/>
  <c r="N614" i="2"/>
  <c r="N613" i="2"/>
  <c r="M612" i="2"/>
  <c r="N612" i="2" s="1"/>
  <c r="M611" i="2"/>
  <c r="N611" i="2" s="1"/>
  <c r="M610" i="2"/>
  <c r="N610" i="2" s="1"/>
  <c r="M609" i="2"/>
  <c r="N609" i="2" s="1"/>
  <c r="M608" i="2"/>
  <c r="N608" i="2" s="1"/>
  <c r="N607" i="2"/>
  <c r="N606" i="2"/>
  <c r="N605" i="2"/>
  <c r="M604" i="2"/>
  <c r="N604" i="2" s="1"/>
  <c r="N603" i="2"/>
  <c r="N602" i="2"/>
  <c r="M601" i="2"/>
  <c r="N601" i="2" s="1"/>
  <c r="N600" i="2"/>
  <c r="N599" i="2"/>
  <c r="N598" i="2"/>
  <c r="N597" i="2"/>
  <c r="N596" i="2"/>
  <c r="N595" i="2"/>
  <c r="N594" i="2"/>
  <c r="N593" i="2"/>
  <c r="N592" i="2"/>
  <c r="M591" i="2"/>
  <c r="N591" i="2" s="1"/>
  <c r="M590" i="2"/>
  <c r="N590" i="2" s="1"/>
  <c r="N589" i="2"/>
  <c r="N588" i="2"/>
  <c r="M587" i="2"/>
  <c r="N587" i="2" s="1"/>
  <c r="M586" i="2"/>
  <c r="N586" i="2" s="1"/>
  <c r="M585" i="2"/>
  <c r="N585" i="2" s="1"/>
  <c r="M584" i="2"/>
  <c r="N584" i="2" s="1"/>
  <c r="N580" i="2"/>
  <c r="N579" i="2"/>
  <c r="N578" i="2"/>
  <c r="M577" i="2"/>
  <c r="N577" i="2" s="1"/>
  <c r="N575" i="2"/>
  <c r="N572" i="2"/>
  <c r="N571" i="2"/>
  <c r="N570" i="2"/>
  <c r="N569" i="2"/>
  <c r="M568" i="2"/>
  <c r="N568" i="2" s="1"/>
  <c r="M567" i="2"/>
  <c r="N567" i="2" s="1"/>
  <c r="M566" i="2"/>
  <c r="N566" i="2" s="1"/>
  <c r="M565" i="2"/>
  <c r="N565" i="2" s="1"/>
  <c r="M564" i="2"/>
  <c r="N564" i="2" s="1"/>
  <c r="N563" i="2"/>
  <c r="N562" i="2"/>
  <c r="M561" i="2"/>
  <c r="N561" i="2" s="1"/>
  <c r="M560" i="2"/>
  <c r="N560" i="2" s="1"/>
  <c r="N559" i="2"/>
  <c r="N558" i="2"/>
  <c r="M557" i="2"/>
  <c r="N557" i="2" s="1"/>
  <c r="M556" i="2"/>
  <c r="N556" i="2" s="1"/>
  <c r="N555" i="2"/>
  <c r="N554" i="2"/>
  <c r="N553" i="2"/>
  <c r="N552" i="2"/>
  <c r="N551" i="2"/>
  <c r="M550" i="2"/>
  <c r="N550" i="2" s="1"/>
  <c r="N549" i="2"/>
  <c r="N548" i="2"/>
  <c r="M547" i="2"/>
  <c r="N547" i="2" s="1"/>
  <c r="M546" i="2"/>
  <c r="N546" i="2" s="1"/>
  <c r="N545" i="2"/>
  <c r="N544" i="2"/>
  <c r="M543" i="2"/>
  <c r="N543" i="2" s="1"/>
  <c r="M542" i="2"/>
  <c r="N542" i="2" s="1"/>
  <c r="M541" i="2"/>
  <c r="N541" i="2" s="1"/>
  <c r="M540" i="2"/>
  <c r="N540" i="2" s="1"/>
  <c r="M539" i="2"/>
  <c r="N539" i="2" s="1"/>
  <c r="N535" i="2"/>
  <c r="N534" i="2"/>
  <c r="M533" i="2"/>
  <c r="N533" i="2" s="1"/>
  <c r="N531" i="2"/>
  <c r="N528" i="2"/>
  <c r="N527" i="2"/>
  <c r="N526" i="2"/>
  <c r="M525" i="2"/>
  <c r="N525" i="2" s="1"/>
  <c r="M524" i="2"/>
  <c r="N524" i="2" s="1"/>
  <c r="M523" i="2"/>
  <c r="N523" i="2" s="1"/>
  <c r="M522" i="2"/>
  <c r="N522" i="2" s="1"/>
  <c r="M521" i="2"/>
  <c r="N521" i="2" s="1"/>
  <c r="N520" i="2"/>
  <c r="N519" i="2"/>
  <c r="N518" i="2"/>
  <c r="M516" i="2"/>
  <c r="N516" i="2" s="1"/>
  <c r="N515" i="2"/>
  <c r="N514" i="2"/>
  <c r="N513" i="2"/>
  <c r="N512" i="2"/>
  <c r="N511" i="2"/>
  <c r="N510" i="2"/>
  <c r="N509" i="2"/>
  <c r="N508" i="2"/>
  <c r="N507" i="2"/>
  <c r="N506" i="2"/>
  <c r="M505" i="2"/>
  <c r="N505" i="2" s="1"/>
  <c r="N504" i="2"/>
  <c r="N503" i="2"/>
  <c r="M502" i="2"/>
  <c r="N502" i="2" s="1"/>
  <c r="M501" i="2"/>
  <c r="N501" i="2" s="1"/>
  <c r="N500" i="2"/>
  <c r="N499" i="2"/>
  <c r="M498" i="2"/>
  <c r="N498" i="2" s="1"/>
  <c r="M497" i="2"/>
  <c r="N497" i="2" s="1"/>
  <c r="M496" i="2"/>
  <c r="N496" i="2" s="1"/>
  <c r="M495" i="2"/>
  <c r="N495" i="2" s="1"/>
  <c r="M494" i="2"/>
  <c r="N494" i="2" s="1"/>
  <c r="N491" i="2"/>
  <c r="N490" i="2"/>
  <c r="M489" i="2"/>
  <c r="N489" i="2" s="1"/>
  <c r="N487" i="2"/>
  <c r="N484" i="2"/>
  <c r="N483" i="2"/>
  <c r="N482" i="2"/>
  <c r="M481" i="2"/>
  <c r="N481" i="2" s="1"/>
  <c r="M480" i="2"/>
  <c r="N480" i="2" s="1"/>
  <c r="N479" i="2"/>
  <c r="M478" i="2"/>
  <c r="N478" i="2" s="1"/>
  <c r="M477" i="2"/>
  <c r="N477" i="2" s="1"/>
  <c r="N476" i="2"/>
  <c r="N475" i="2"/>
  <c r="N474" i="2"/>
  <c r="M472" i="2"/>
  <c r="N472" i="2" s="1"/>
  <c r="M471" i="2"/>
  <c r="N471" i="2" s="1"/>
  <c r="N470" i="2"/>
  <c r="N469" i="2"/>
  <c r="M468" i="2"/>
  <c r="N468" i="2" s="1"/>
  <c r="N467" i="2"/>
  <c r="N466" i="2"/>
  <c r="N465" i="2"/>
  <c r="N464" i="2"/>
  <c r="N463" i="2"/>
  <c r="M462" i="2"/>
  <c r="N462" i="2" s="1"/>
  <c r="M461" i="2"/>
  <c r="N461" i="2" s="1"/>
  <c r="M460" i="2"/>
  <c r="N460" i="2" s="1"/>
  <c r="M459" i="2"/>
  <c r="N459" i="2" s="1"/>
  <c r="M458" i="2"/>
  <c r="N458" i="2" s="1"/>
  <c r="N457" i="2"/>
  <c r="M456" i="2"/>
  <c r="N456" i="2" s="1"/>
  <c r="M455" i="2"/>
  <c r="N455" i="2" s="1"/>
  <c r="M454" i="2"/>
  <c r="N454" i="2" s="1"/>
  <c r="M453" i="2"/>
  <c r="N453" i="2" s="1"/>
  <c r="M452" i="2"/>
  <c r="N452" i="2" s="1"/>
  <c r="M451" i="2"/>
  <c r="N451" i="2" s="1"/>
  <c r="N441" i="2"/>
  <c r="N440" i="2"/>
  <c r="N439" i="2"/>
  <c r="N438" i="2"/>
  <c r="N437" i="2"/>
  <c r="N435" i="2"/>
  <c r="N434" i="2"/>
  <c r="N431" i="2"/>
  <c r="N430" i="2"/>
  <c r="N429" i="2"/>
  <c r="N428" i="2"/>
  <c r="N427" i="2"/>
  <c r="N426" i="2"/>
  <c r="N425" i="2"/>
  <c r="N424" i="2"/>
  <c r="N423" i="2"/>
  <c r="N422" i="2"/>
  <c r="N250" i="2"/>
  <c r="N249" i="2"/>
  <c r="N247" i="2"/>
  <c r="N245" i="2"/>
  <c r="M248" i="2"/>
  <c r="N248" i="2" s="1"/>
  <c r="M246" i="2"/>
  <c r="N246" i="2" s="1"/>
  <c r="N244" i="2"/>
  <c r="M243" i="2"/>
  <c r="N243" i="2" s="1"/>
  <c r="N242" i="2"/>
  <c r="N241" i="2"/>
  <c r="M240" i="2"/>
  <c r="N240" i="2" s="1"/>
  <c r="M239" i="2"/>
  <c r="N239" i="2" s="1"/>
  <c r="M238" i="2"/>
  <c r="N238" i="2" s="1"/>
  <c r="N237" i="2"/>
  <c r="N236" i="2"/>
  <c r="N41" i="2"/>
  <c r="N40" i="2"/>
  <c r="N39" i="2"/>
  <c r="N38" i="2"/>
  <c r="N37" i="2"/>
  <c r="N36" i="2"/>
  <c r="N35" i="2"/>
  <c r="N34" i="2"/>
  <c r="N33" i="2"/>
  <c r="N30" i="2"/>
  <c r="N28" i="2"/>
  <c r="N23" i="2"/>
  <c r="N22" i="2"/>
  <c r="N21" i="2"/>
  <c r="N20" i="2"/>
  <c r="N19" i="2"/>
  <c r="N18" i="2"/>
  <c r="N3" i="2"/>
  <c r="M395" i="2"/>
  <c r="N395" i="2" s="1"/>
  <c r="M448" i="2"/>
  <c r="N448" i="2" s="1"/>
  <c r="N415" i="2"/>
  <c r="N414" i="2"/>
  <c r="N413" i="2"/>
  <c r="N412" i="2"/>
  <c r="N411" i="2"/>
  <c r="M410" i="2"/>
  <c r="N410" i="2" s="1"/>
  <c r="N409" i="2"/>
  <c r="N408" i="2"/>
  <c r="M407" i="2"/>
  <c r="N407" i="2" s="1"/>
  <c r="M406" i="2"/>
  <c r="N406" i="2" s="1"/>
  <c r="N405" i="2"/>
  <c r="N404" i="2"/>
  <c r="N403" i="2"/>
  <c r="N402" i="2"/>
  <c r="N401" i="2"/>
  <c r="N400" i="2"/>
  <c r="N399" i="2"/>
  <c r="N398" i="2"/>
  <c r="M436" i="2"/>
  <c r="N436" i="2" s="1"/>
  <c r="M433" i="2"/>
  <c r="N433" i="2" s="1"/>
  <c r="M432" i="2"/>
  <c r="N432" i="2" s="1"/>
  <c r="N390" i="2"/>
  <c r="N388" i="2"/>
  <c r="N387" i="2"/>
  <c r="N386" i="2"/>
  <c r="N385" i="2"/>
  <c r="M384" i="2"/>
  <c r="N384" i="2" s="1"/>
  <c r="M383" i="2"/>
  <c r="N383" i="2" s="1"/>
  <c r="N382" i="2"/>
  <c r="N381" i="2"/>
  <c r="N380" i="2"/>
  <c r="N379" i="2"/>
  <c r="N378" i="2"/>
  <c r="N377" i="2"/>
  <c r="N376" i="2"/>
  <c r="N375" i="2"/>
  <c r="N374" i="2"/>
  <c r="N373" i="2"/>
  <c r="M372" i="2"/>
  <c r="N372" i="2" s="1"/>
  <c r="M371" i="2"/>
  <c r="N371" i="2" s="1"/>
  <c r="N365" i="2"/>
  <c r="N364" i="2"/>
  <c r="N363" i="2"/>
  <c r="N362" i="2"/>
  <c r="N361" i="2"/>
  <c r="N360" i="2"/>
  <c r="M359" i="2"/>
  <c r="N359" i="2" s="1"/>
  <c r="M358" i="2"/>
  <c r="N358" i="2" s="1"/>
  <c r="N357" i="2"/>
  <c r="N356" i="2"/>
  <c r="N355" i="2"/>
  <c r="N354" i="2"/>
  <c r="N353" i="2"/>
  <c r="N352" i="2"/>
  <c r="N351" i="2"/>
  <c r="N350" i="2"/>
  <c r="N349" i="2"/>
  <c r="M348" i="2"/>
  <c r="N348" i="2" s="1"/>
  <c r="M347" i="2"/>
  <c r="N347" i="2" s="1"/>
  <c r="N343" i="2"/>
  <c r="N331" i="2"/>
  <c r="N336" i="2"/>
  <c r="M335" i="2"/>
  <c r="N335" i="2" s="1"/>
  <c r="N334" i="2"/>
  <c r="M333" i="2"/>
  <c r="N333" i="2" s="1"/>
  <c r="M332" i="2"/>
  <c r="N332" i="2" s="1"/>
  <c r="N322" i="2"/>
  <c r="N321" i="2"/>
  <c r="N323" i="2"/>
  <c r="N306" i="2"/>
  <c r="N314" i="2"/>
  <c r="N304" i="2"/>
  <c r="M305" i="2"/>
  <c r="N305" i="2" s="1"/>
  <c r="N296" i="2"/>
  <c r="M295" i="2"/>
  <c r="N295" i="2" s="1"/>
  <c r="N294" i="2"/>
  <c r="N293" i="2"/>
  <c r="N263" i="2"/>
  <c r="N262" i="2"/>
  <c r="N261" i="2"/>
  <c r="N260" i="2"/>
  <c r="N259" i="2"/>
  <c r="N258" i="2"/>
  <c r="N257" i="2"/>
  <c r="N275" i="2"/>
  <c r="N274" i="2"/>
  <c r="N273" i="2"/>
  <c r="N271" i="2"/>
  <c r="N270" i="2"/>
  <c r="N285" i="2"/>
  <c r="M272" i="2"/>
  <c r="N272" i="2" s="1"/>
  <c r="N231" i="2"/>
  <c r="N215" i="2"/>
  <c r="N214" i="2"/>
  <c r="N213" i="2"/>
  <c r="N212" i="2"/>
  <c r="N211" i="2"/>
  <c r="N210" i="2"/>
  <c r="N209" i="2"/>
  <c r="N208" i="2"/>
  <c r="N207" i="2"/>
  <c r="N205" i="2"/>
  <c r="N170" i="2"/>
  <c r="N136" i="2"/>
  <c r="M234" i="2"/>
  <c r="N234" i="2" s="1"/>
  <c r="M233" i="2"/>
  <c r="N233" i="2" s="1"/>
  <c r="M232" i="2"/>
  <c r="N232" i="2" s="1"/>
  <c r="M230" i="2"/>
  <c r="N230" i="2" s="1"/>
  <c r="M229" i="2"/>
  <c r="N229" i="2" s="1"/>
  <c r="M228" i="2"/>
  <c r="N228" i="2" s="1"/>
  <c r="M227" i="2"/>
  <c r="N227" i="2" s="1"/>
  <c r="M226" i="2"/>
  <c r="N226" i="2" s="1"/>
  <c r="M225" i="2"/>
  <c r="N225" i="2" s="1"/>
  <c r="M224" i="2"/>
  <c r="N224" i="2" s="1"/>
  <c r="M223" i="2"/>
  <c r="N223" i="2" s="1"/>
  <c r="M221" i="2"/>
  <c r="N221" i="2" s="1"/>
  <c r="M220" i="2"/>
  <c r="N220" i="2" s="1"/>
  <c r="M219" i="2"/>
  <c r="N219" i="2" s="1"/>
  <c r="M218" i="2"/>
  <c r="N218" i="2" s="1"/>
  <c r="M217" i="2"/>
  <c r="N217" i="2" s="1"/>
  <c r="M216" i="2"/>
  <c r="N216" i="2" s="1"/>
  <c r="M206" i="2"/>
  <c r="N206" i="2" s="1"/>
  <c r="M204" i="2"/>
  <c r="N204" i="2" s="1"/>
  <c r="M203" i="2"/>
  <c r="N203" i="2" s="1"/>
  <c r="M202" i="2"/>
  <c r="N202" i="2" s="1"/>
  <c r="M201" i="2"/>
  <c r="N201" i="2" s="1"/>
  <c r="M200" i="2"/>
  <c r="N200" i="2" s="1"/>
  <c r="M199" i="2"/>
  <c r="N199" i="2" s="1"/>
  <c r="M198" i="2"/>
  <c r="N198" i="2" s="1"/>
  <c r="M197" i="2"/>
  <c r="N197" i="2" s="1"/>
  <c r="M196" i="2"/>
  <c r="N196" i="2" s="1"/>
  <c r="M195" i="2"/>
  <c r="N195" i="2" s="1"/>
  <c r="M194" i="2"/>
  <c r="N194" i="2" s="1"/>
  <c r="M193" i="2"/>
  <c r="N193" i="2" s="1"/>
  <c r="M192" i="2"/>
  <c r="N192" i="2" s="1"/>
  <c r="M191" i="2"/>
  <c r="N191" i="2" s="1"/>
  <c r="M190" i="2"/>
  <c r="N190" i="2" s="1"/>
  <c r="M189" i="2"/>
  <c r="N189" i="2" s="1"/>
  <c r="M188" i="2"/>
  <c r="N188" i="2" s="1"/>
  <c r="M187" i="2"/>
  <c r="N187" i="2" s="1"/>
  <c r="M186" i="2"/>
  <c r="N186" i="2" s="1"/>
  <c r="M185" i="2"/>
  <c r="N185" i="2" s="1"/>
  <c r="M184" i="2"/>
  <c r="N184" i="2" s="1"/>
  <c r="M183" i="2"/>
  <c r="N183" i="2" s="1"/>
  <c r="M182" i="2"/>
  <c r="N182" i="2" s="1"/>
  <c r="M181" i="2"/>
  <c r="N181" i="2" s="1"/>
  <c r="M180" i="2"/>
  <c r="N180" i="2" s="1"/>
  <c r="M179" i="2"/>
  <c r="N179" i="2" s="1"/>
  <c r="M178" i="2"/>
  <c r="N178" i="2" s="1"/>
  <c r="M177" i="2"/>
  <c r="N177" i="2" s="1"/>
  <c r="M176" i="2"/>
  <c r="N176" i="2" s="1"/>
  <c r="M175" i="2"/>
  <c r="N175" i="2" s="1"/>
  <c r="M174" i="2"/>
  <c r="N174" i="2" s="1"/>
  <c r="M173" i="2"/>
  <c r="N173" i="2" s="1"/>
  <c r="M172" i="2"/>
  <c r="N172" i="2" s="1"/>
  <c r="M171" i="2"/>
  <c r="N171" i="2" s="1"/>
  <c r="M168" i="2"/>
  <c r="N168" i="2" s="1"/>
  <c r="N140" i="2"/>
  <c r="M139" i="2"/>
  <c r="N139" i="2" s="1"/>
  <c r="M138" i="2"/>
  <c r="N138" i="2" s="1"/>
  <c r="M137" i="2"/>
  <c r="N137" i="2" s="1"/>
  <c r="M135" i="2"/>
  <c r="N135" i="2" s="1"/>
  <c r="N132" i="2"/>
  <c r="N131" i="2"/>
  <c r="N130" i="2"/>
  <c r="N129" i="2"/>
  <c r="N128" i="2"/>
  <c r="N127" i="2"/>
  <c r="N126" i="2"/>
  <c r="N125" i="2"/>
  <c r="N124" i="2"/>
  <c r="N123" i="2"/>
  <c r="N122" i="2"/>
  <c r="N121" i="2"/>
  <c r="N120" i="2"/>
  <c r="N119" i="2"/>
  <c r="N118" i="2"/>
  <c r="N117" i="2"/>
  <c r="N116" i="2"/>
  <c r="N114" i="2"/>
  <c r="N113" i="2"/>
  <c r="N111" i="2"/>
  <c r="N106" i="2"/>
  <c r="N105" i="2"/>
  <c r="N103" i="2"/>
  <c r="N102" i="2"/>
  <c r="N101" i="2"/>
  <c r="N100" i="2"/>
  <c r="N99" i="2"/>
  <c r="N98" i="2"/>
  <c r="N97" i="2"/>
  <c r="N96" i="2"/>
  <c r="N92" i="2"/>
  <c r="N86" i="2"/>
  <c r="N85" i="2"/>
  <c r="N83" i="2"/>
  <c r="N82" i="2"/>
  <c r="N81" i="2"/>
  <c r="N80" i="2"/>
  <c r="N79" i="2"/>
  <c r="N90" i="2"/>
  <c r="M115" i="2"/>
  <c r="N115" i="2" s="1"/>
  <c r="M109" i="2"/>
  <c r="N109" i="2" s="1"/>
  <c r="M108" i="2"/>
  <c r="N108" i="2" s="1"/>
  <c r="M107" i="2"/>
  <c r="N107" i="2" s="1"/>
  <c r="M104" i="2"/>
  <c r="N104" i="2" s="1"/>
  <c r="M95" i="2"/>
  <c r="N95" i="2" s="1"/>
  <c r="M93" i="2"/>
  <c r="N93" i="2" s="1"/>
  <c r="M91" i="2"/>
  <c r="N91" i="2" s="1"/>
  <c r="M89" i="2"/>
  <c r="N89" i="2" s="1"/>
  <c r="M88" i="2"/>
  <c r="N88" i="2" s="1"/>
  <c r="M84" i="2"/>
  <c r="N84" i="2" s="1"/>
  <c r="M78" i="2"/>
  <c r="N78" i="2" s="1"/>
  <c r="N68" i="2"/>
  <c r="N65" i="2"/>
  <c r="N63" i="2"/>
  <c r="N58" i="2"/>
  <c r="N57" i="2"/>
  <c r="N56" i="2"/>
  <c r="N55" i="2"/>
  <c r="N54" i="2"/>
  <c r="N53" i="2"/>
  <c r="N51" i="2"/>
  <c r="N49" i="2"/>
  <c r="N48" i="2"/>
  <c r="N44" i="2"/>
  <c r="N43" i="2"/>
  <c r="M67" i="2"/>
  <c r="N67" i="2" s="1"/>
  <c r="M64" i="2"/>
  <c r="N64" i="2" s="1"/>
  <c r="M62" i="2"/>
  <c r="N62" i="2" s="1"/>
  <c r="M61" i="2"/>
  <c r="N61" i="2" s="1"/>
  <c r="M60" i="2"/>
  <c r="N60" i="2" s="1"/>
  <c r="M59" i="2"/>
  <c r="N59" i="2" s="1"/>
  <c r="M52" i="2"/>
  <c r="N52" i="2" s="1"/>
  <c r="M50" i="2"/>
  <c r="N50" i="2" s="1"/>
  <c r="M47" i="2"/>
  <c r="N47" i="2" s="1"/>
  <c r="M46" i="2"/>
  <c r="N46" i="2" s="1"/>
  <c r="M45" i="2"/>
  <c r="N45" i="2" s="1"/>
  <c r="D168" i="2"/>
  <c r="D135" i="2"/>
  <c r="N15" i="1"/>
  <c r="N13" i="1"/>
  <c r="N12" i="1"/>
  <c r="N9" i="2"/>
  <c r="N8" i="2"/>
  <c r="N7" i="2"/>
  <c r="N6" i="2"/>
  <c r="N5" i="2"/>
  <c r="N4" i="2"/>
  <c r="M7" i="1"/>
  <c r="N7" i="1" s="1"/>
  <c r="N8" i="1"/>
  <c r="N9" i="1"/>
  <c r="O531" i="3" l="1"/>
  <c r="N844" i="2"/>
  <c r="N877" i="2"/>
  <c r="N27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Silv</author>
    <author>Kari Shippen</author>
  </authors>
  <commentList>
    <comment ref="B1" authorId="0" shapeId="0" xr:uid="{C0834FE1-A94F-44C7-959C-7E366012AAD2}">
      <text>
        <r>
          <rPr>
            <b/>
            <sz val="9"/>
            <color indexed="81"/>
            <rFont val="Tahoma"/>
            <family val="2"/>
          </rPr>
          <t>Silv:</t>
        </r>
        <r>
          <rPr>
            <sz val="9"/>
            <color indexed="81"/>
            <rFont val="Tahoma"/>
            <family val="2"/>
          </rPr>
          <t xml:space="preserve">
Items that are movable within the contract</t>
        </r>
      </text>
    </comment>
    <comment ref="C1" authorId="0" shapeId="0" xr:uid="{56D1DE5E-39D3-4D28-9496-F894B24B7B5E}">
      <text>
        <r>
          <rPr>
            <b/>
            <sz val="9"/>
            <color indexed="81"/>
            <rFont val="Tahoma"/>
            <family val="2"/>
          </rPr>
          <t>Silv:
Associated to lodging
Maintenance/Operations
Food Service
Appliance
Mis</t>
        </r>
        <r>
          <rPr>
            <sz val="9"/>
            <color indexed="81"/>
            <rFont val="Tahoma"/>
            <family val="2"/>
          </rPr>
          <t xml:space="preserve">
Building Content &amp; Component
Electronics
Equiptment.Tool
Fleet 
Internal Structure
Recreational Amenity</t>
        </r>
      </text>
    </comment>
    <comment ref="O1" authorId="1" shapeId="0" xr:uid="{364CEEA0-8FCC-4BDB-AE76-F6A222CE4FBF}">
      <text>
        <r>
          <rPr>
            <b/>
            <sz val="9"/>
            <color indexed="81"/>
            <rFont val="Tahoma"/>
            <family val="2"/>
          </rPr>
          <t>Kari Shippen:</t>
        </r>
        <r>
          <rPr>
            <sz val="9"/>
            <color indexed="81"/>
            <rFont val="Tahoma"/>
            <family val="2"/>
          </rPr>
          <t xml:space="preserve">
Best Estimate - Primarily based on Prior Concessionaire's Asset List, OPRD OPRIS assets tracking data base and items acquired by concessionaire operating Smith Creek Village Prior to 2014(Marked with "Deshaw" personal property tags)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Silv</author>
    <author>Kari Shippen</author>
  </authors>
  <commentList>
    <comment ref="B1" authorId="0" shapeId="0" xr:uid="{ABB7F3AF-D243-4D32-9D50-04FFA2666B41}">
      <text>
        <r>
          <rPr>
            <b/>
            <sz val="9"/>
            <color indexed="81"/>
            <rFont val="Tahoma"/>
            <family val="2"/>
          </rPr>
          <t>Silv:</t>
        </r>
        <r>
          <rPr>
            <sz val="9"/>
            <color indexed="81"/>
            <rFont val="Tahoma"/>
            <family val="2"/>
          </rPr>
          <t xml:space="preserve">
Items that are movable within the contract</t>
        </r>
      </text>
    </comment>
    <comment ref="C1" authorId="0" shapeId="0" xr:uid="{B9A837E6-BA54-45E3-A013-2BC516C46C80}">
      <text>
        <r>
          <rPr>
            <b/>
            <sz val="9"/>
            <color indexed="81"/>
            <rFont val="Tahoma"/>
            <family val="2"/>
          </rPr>
          <t>Silv:
Associated to lodging
Maintenance/Operations
Food Service
Appliance
Mis</t>
        </r>
        <r>
          <rPr>
            <sz val="9"/>
            <color indexed="81"/>
            <rFont val="Tahoma"/>
            <family val="2"/>
          </rPr>
          <t xml:space="preserve">
Building Content &amp; Component
Electronics
Equiptment.Tool
Fleet 
Internal Structure
Recreational Amenity</t>
        </r>
      </text>
    </comment>
    <comment ref="O1" authorId="1" shapeId="0" xr:uid="{B02E1103-E5B9-4FF4-8F21-2DE06B6FE758}">
      <text>
        <r>
          <rPr>
            <b/>
            <sz val="9"/>
            <color indexed="81"/>
            <rFont val="Tahoma"/>
            <family val="2"/>
          </rPr>
          <t>Kari Shippen:</t>
        </r>
        <r>
          <rPr>
            <sz val="9"/>
            <color indexed="81"/>
            <rFont val="Tahoma"/>
            <family val="2"/>
          </rPr>
          <t xml:space="preserve">
Best Estimate - Primarily based on Prior Concessionaire's Asset List, OPRD OPRIS assets tracking data base and items acquired by concessionaire operating Smith Creek Village Prior to 2014(Marked with "Deshaw" personal property tags)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Silv</author>
  </authors>
  <commentList>
    <comment ref="B1" authorId="0" shapeId="0" xr:uid="{BB6C31EA-7BB1-4C7B-AA7C-94A8FFB5C7E7}">
      <text>
        <r>
          <rPr>
            <b/>
            <sz val="9"/>
            <color indexed="81"/>
            <rFont val="Tahoma"/>
            <family val="2"/>
          </rPr>
          <t>Silv:</t>
        </r>
        <r>
          <rPr>
            <sz val="9"/>
            <color indexed="81"/>
            <rFont val="Tahoma"/>
            <family val="2"/>
          </rPr>
          <t xml:space="preserve">
Items that are movable within the contract</t>
        </r>
      </text>
    </comment>
    <comment ref="C1" authorId="0" shapeId="0" xr:uid="{8934B307-1B32-4640-A419-1F9D768F2D0E}">
      <text>
        <r>
          <rPr>
            <b/>
            <sz val="9"/>
            <color indexed="81"/>
            <rFont val="Tahoma"/>
            <family val="2"/>
          </rPr>
          <t>Silv:
Associated to lodging
Maintenance/Operations
Food Service
Appliance
Mis</t>
        </r>
        <r>
          <rPr>
            <sz val="9"/>
            <color indexed="81"/>
            <rFont val="Tahoma"/>
            <family val="2"/>
          </rPr>
          <t xml:space="preserve">
Building Content &amp; Component
Electronics
Equiptment.Tool
Fleet 
Internal Structure
Recreational Amenity</t>
        </r>
      </text>
    </comment>
  </commentList>
</comments>
</file>

<file path=xl/sharedStrings.xml><?xml version="1.0" encoding="utf-8"?>
<sst xmlns="http://schemas.openxmlformats.org/spreadsheetml/2006/main" count="7339" uniqueCount="2474">
  <si>
    <t>Location</t>
  </si>
  <si>
    <t>Assets Associated</t>
  </si>
  <si>
    <t>Asset Category</t>
  </si>
  <si>
    <t>Updated Description</t>
  </si>
  <si>
    <t>Updated Condition</t>
  </si>
  <si>
    <t>Make</t>
  </si>
  <si>
    <t>Model</t>
  </si>
  <si>
    <t>Serial#</t>
  </si>
  <si>
    <t>Model Year</t>
  </si>
  <si>
    <t>Length(ft.)</t>
  </si>
  <si>
    <t>Width(ft.)</t>
  </si>
  <si>
    <t>Est Retail Value</t>
  </si>
  <si>
    <t>Current Value</t>
  </si>
  <si>
    <t>Acq. Date</t>
  </si>
  <si>
    <t>Maintenance/Operations</t>
  </si>
  <si>
    <t>Park Radio - for Emergency</t>
  </si>
  <si>
    <t>Good</t>
  </si>
  <si>
    <t>good</t>
  </si>
  <si>
    <t>Kenwood</t>
  </si>
  <si>
    <t>TK-290</t>
  </si>
  <si>
    <t>Miscellaneous</t>
  </si>
  <si>
    <t>fair</t>
  </si>
  <si>
    <t>Inventoried keys</t>
  </si>
  <si>
    <t>Monitor with 4 cameras, motion and door sensors</t>
  </si>
  <si>
    <t>Affixed shelving</t>
  </si>
  <si>
    <t>4 Units - 2 shelves each</t>
  </si>
  <si>
    <t>Admin Office</t>
  </si>
  <si>
    <t xml:space="preserve">Desk(s) </t>
  </si>
  <si>
    <t>1 - Wood with 7 drawers, 5 - Ikea with black top and filing cabinet underneath</t>
  </si>
  <si>
    <t>Fair</t>
  </si>
  <si>
    <t>Bookshelf(s)</t>
  </si>
  <si>
    <t>Like New</t>
  </si>
  <si>
    <t>Office chair(s)</t>
  </si>
  <si>
    <t>File cabinet(s)</t>
  </si>
  <si>
    <t>Radio &amp; charger</t>
  </si>
  <si>
    <t>17 Handsets, 9 Earpieces, 22 Chargers, 1 Spare Battery</t>
  </si>
  <si>
    <t>RETEVIS</t>
  </si>
  <si>
    <t>RT21</t>
  </si>
  <si>
    <t>Mini Fridge</t>
  </si>
  <si>
    <t>Appliance</t>
  </si>
  <si>
    <t>Black - with Separate Freezer compartment</t>
  </si>
  <si>
    <t>RCA</t>
  </si>
  <si>
    <t>RFR835-B</t>
  </si>
  <si>
    <t>A1504134570000231</t>
  </si>
  <si>
    <t>Safe- Portable</t>
  </si>
  <si>
    <t xml:space="preserve">In Closet - Grey, 1x2x2 ft. </t>
  </si>
  <si>
    <t>Poor</t>
  </si>
  <si>
    <t>Paragon - Lock and Safe</t>
  </si>
  <si>
    <t xml:space="preserve">Fire Extinguisher(s) </t>
  </si>
  <si>
    <t>Art &amp; Decor</t>
  </si>
  <si>
    <t>Trash can(s)</t>
  </si>
  <si>
    <t>1 small - 1 tan square(1ftx1ft opening)</t>
  </si>
  <si>
    <t>Receipt printer</t>
  </si>
  <si>
    <t>Corkboards/whiteboard</t>
  </si>
  <si>
    <t>2 Burlap Covered with Wood Frame - Above Fire Place, 1 Black Framed, 2 Wood Frame - 1 Whiteboard</t>
  </si>
  <si>
    <t>Uniforms</t>
  </si>
  <si>
    <t>Smith Creek Village Patch - 11 Polos, 7 Fleece Jackets, 8 Rain Jackets(not including what is issued to employees)</t>
  </si>
  <si>
    <t>Router - AT&amp;T</t>
  </si>
  <si>
    <t>Black - Small, Model: SB67128, SN: HB 600162917</t>
  </si>
  <si>
    <t>new</t>
  </si>
  <si>
    <t>Water cooler</t>
  </si>
  <si>
    <t>White - Holds 5 gal. jug</t>
  </si>
  <si>
    <t>Glacier Bay</t>
  </si>
  <si>
    <t>VWD2266W-2</t>
  </si>
  <si>
    <t>Black Filing Cabinet</t>
  </si>
  <si>
    <t>23x28x14</t>
  </si>
  <si>
    <t>Printer</t>
  </si>
  <si>
    <t>Black with Copier and Printer</t>
  </si>
  <si>
    <t>Canon</t>
  </si>
  <si>
    <t>MX492</t>
  </si>
  <si>
    <t>KLCG71437</t>
  </si>
  <si>
    <t>Key Drop Box</t>
  </si>
  <si>
    <t>Wood box in Whiskey Barrel Planter with sign</t>
  </si>
  <si>
    <t xml:space="preserve">  </t>
  </si>
  <si>
    <t xml:space="preserve">Fire extinguisher </t>
  </si>
  <si>
    <t>Amerex ABC</t>
  </si>
  <si>
    <t>Inside Bulletin Boards</t>
  </si>
  <si>
    <t>Outside Bulletin board</t>
  </si>
  <si>
    <t>Black frame with locking  glass door</t>
  </si>
  <si>
    <t>Baskets</t>
  </si>
  <si>
    <t>Office supplies</t>
  </si>
  <si>
    <t>Décor</t>
  </si>
  <si>
    <t>Broom/Dustpan</t>
  </si>
  <si>
    <t>Red Lantern - electric</t>
  </si>
  <si>
    <t>Res Booth</t>
  </si>
  <si>
    <t>Built in desk</t>
  </si>
  <si>
    <t>Shelving wall system</t>
  </si>
  <si>
    <t>MDF Boards with groves to hang hooks</t>
  </si>
  <si>
    <t>Counter- visitor facing</t>
  </si>
  <si>
    <t>Wood with Metal Brackets</t>
  </si>
  <si>
    <t>5 Bike Helmets</t>
  </si>
  <si>
    <t>Red Strapping</t>
  </si>
  <si>
    <t>Orange Rope</t>
  </si>
  <si>
    <t>Badminton Net and Birdies</t>
  </si>
  <si>
    <t>Collapsible Soccer Goals</t>
  </si>
  <si>
    <t>Food Service</t>
  </si>
  <si>
    <t>Black Plastic Sandwich Board</t>
  </si>
  <si>
    <t>Night Owl</t>
  </si>
  <si>
    <t>Sink</t>
  </si>
  <si>
    <t>Small stainless</t>
  </si>
  <si>
    <t>Café</t>
  </si>
  <si>
    <t xml:space="preserve">Security system </t>
  </si>
  <si>
    <t>Security Cameras</t>
  </si>
  <si>
    <t>Soap &amp;Towel dispenser</t>
  </si>
  <si>
    <t>Black No touch PT dispenser and White/Grey Foaming Hand soap dispenser</t>
  </si>
  <si>
    <t xml:space="preserve">First Aid kit </t>
  </si>
  <si>
    <t>Step stool</t>
  </si>
  <si>
    <t>Werner 2-step stool</t>
  </si>
  <si>
    <t>Werner</t>
  </si>
  <si>
    <t>2ft</t>
  </si>
  <si>
    <t>1ft</t>
  </si>
  <si>
    <t>Floor mats</t>
  </si>
  <si>
    <t>Black Memory Foam</t>
  </si>
  <si>
    <t>Dishwasher racks</t>
  </si>
  <si>
    <t>Grey Plastic</t>
  </si>
  <si>
    <t>Menu board</t>
  </si>
  <si>
    <t>"South Falls Café" - Black hanging sign</t>
  </si>
  <si>
    <t>like new</t>
  </si>
  <si>
    <t>Cafe</t>
  </si>
  <si>
    <t>Commercial Ventilation System with fire suppression</t>
  </si>
  <si>
    <t>?</t>
  </si>
  <si>
    <t xml:space="preserve">Range </t>
  </si>
  <si>
    <t>RG2.5G</t>
  </si>
  <si>
    <t>Walk in fridge unit - with cooling systems</t>
  </si>
  <si>
    <t>Larkin Cooling System</t>
  </si>
  <si>
    <t>Wire Storage rack</t>
  </si>
  <si>
    <t>Storage Rack in Basement - Grey metal</t>
  </si>
  <si>
    <t>6 ft</t>
  </si>
  <si>
    <t>3ft</t>
  </si>
  <si>
    <t>Foot Operated - Stainless Steel</t>
  </si>
  <si>
    <t>Lamberton Industries</t>
  </si>
  <si>
    <t>2X2X4</t>
  </si>
  <si>
    <t>Soap &amp; towel dispenser</t>
  </si>
  <si>
    <t>Georgia Pacific/Prime Source</t>
  </si>
  <si>
    <t>Fire extinguisher</t>
  </si>
  <si>
    <t>Amerex</t>
  </si>
  <si>
    <t>B 260</t>
  </si>
  <si>
    <t>0.5ft</t>
  </si>
  <si>
    <t xml:space="preserve">Trash can </t>
  </si>
  <si>
    <t>2, 32 gal. trash cans - 1, Rubbermaid Slim Jim recycle bin</t>
  </si>
  <si>
    <t>Floor mat</t>
  </si>
  <si>
    <t>Food cart</t>
  </si>
  <si>
    <t>Plastic - Beige - 3 shelves rolling</t>
  </si>
  <si>
    <t>poor</t>
  </si>
  <si>
    <t>Mop/bucket</t>
  </si>
  <si>
    <t>Yellow - Rubbermaid Commercial</t>
  </si>
  <si>
    <t>Cooler- deep</t>
  </si>
  <si>
    <t xml:space="preserve">White - Slide open top(Ice Cream Cabinet) </t>
  </si>
  <si>
    <t>Fridgidaire</t>
  </si>
  <si>
    <t>B5SO</t>
  </si>
  <si>
    <t>WB00621303</t>
  </si>
  <si>
    <t>2x3x4</t>
  </si>
  <si>
    <t>Dinning Hall</t>
  </si>
  <si>
    <t>Round tables- 6 foot</t>
  </si>
  <si>
    <t>17 - Metal edge with wood top -on a rolling rack</t>
  </si>
  <si>
    <t>6ft</t>
  </si>
  <si>
    <t>Small round Table</t>
  </si>
  <si>
    <t>Black Plastic edge with wood top</t>
  </si>
  <si>
    <t>Half Round Table</t>
  </si>
  <si>
    <t>2 - 6ft diameter half round - black edge with wood top</t>
  </si>
  <si>
    <t>Folding table- 6 ft</t>
  </si>
  <si>
    <t>1 - Brown edge with wood top</t>
  </si>
  <si>
    <t>Trash Can</t>
  </si>
  <si>
    <t>Tan plastic - with flip top lid</t>
  </si>
  <si>
    <t xml:space="preserve"> 4 - Butterfly terrariums - 1 - 1/2 pint size - 1 - 7.5in tall glass jar - 1 - Pint size jar - 1 - 12in tall jar</t>
  </si>
  <si>
    <t>20ft garland -10ft plan greenery - 10ft greens with white flowers</t>
  </si>
  <si>
    <t xml:space="preserve"> 2-Box Wood Place Mats</t>
  </si>
  <si>
    <t xml:space="preserve"> 7 wood rounds with grey/silver votive candle holder</t>
  </si>
  <si>
    <t>faux concrete pot with lavender sprig</t>
  </si>
  <si>
    <t>glass bouquet vase with faux lavender sprig</t>
  </si>
  <si>
    <t>6 in Cylinder Vase</t>
  </si>
  <si>
    <t>12 Christmas Floral pics</t>
  </si>
  <si>
    <t>12 lavender floral pics</t>
  </si>
  <si>
    <t>6 - 1 in diameter 7.5 in tall cylinder vases</t>
  </si>
  <si>
    <t>12x10x6in pan full of rocks for vase filler</t>
  </si>
  <si>
    <t>6x5in galvanized metal pot</t>
  </si>
  <si>
    <t>2x4in mini wicker basket</t>
  </si>
  <si>
    <t>LED Pillar Candle - 6in tall</t>
  </si>
  <si>
    <t>2 bins full of ribbon - 16x11x10in bins</t>
  </si>
  <si>
    <t>2 shoe box size bins full of blue/white glass vase filler</t>
  </si>
  <si>
    <t>2 person table</t>
  </si>
  <si>
    <t>4ft square</t>
  </si>
  <si>
    <t>Side tables</t>
  </si>
  <si>
    <t>Chair- padded wood</t>
  </si>
  <si>
    <t>Holsag Canada</t>
  </si>
  <si>
    <t>Carlo</t>
  </si>
  <si>
    <t>High chair- restaurant wood</t>
  </si>
  <si>
    <t>Sofix</t>
  </si>
  <si>
    <t xml:space="preserve">Portable Serving tray </t>
  </si>
  <si>
    <t>Round  Black Trays(2 Large, 3 medium, 1 small) with 2 Wooden Folding Stands</t>
  </si>
  <si>
    <t>Cambro</t>
  </si>
  <si>
    <t>Camtread</t>
  </si>
  <si>
    <t>Chairs - Black Cushion</t>
  </si>
  <si>
    <t>Chairs - mauve</t>
  </si>
  <si>
    <t>Brochure rack</t>
  </si>
  <si>
    <t>Oak with 6 compartments(currently holding café syrups)</t>
  </si>
  <si>
    <t>Curtains</t>
  </si>
  <si>
    <t>7 Panels Surrounding Buffet Area - Grey with grey/blue floral pattern</t>
  </si>
  <si>
    <t>Table</t>
  </si>
  <si>
    <t>Sofa back/Side board - Gold legs and Hardware - wood top/drawers</t>
  </si>
  <si>
    <t>End Table - wood with black marble top - Square</t>
  </si>
  <si>
    <t>Filing Cabinet</t>
  </si>
  <si>
    <t>Wood - 2 drawer</t>
  </si>
  <si>
    <t>Love Seat</t>
  </si>
  <si>
    <t>Associated to lodging</t>
  </si>
  <si>
    <t>2 seats - Grey upholstery - From USCMH?</t>
  </si>
  <si>
    <t>Shelf - 3 drawer wicker</t>
  </si>
  <si>
    <t>Tan Wicker Drawers and top with metal frame</t>
  </si>
  <si>
    <t>Kegerator</t>
  </si>
  <si>
    <t xml:space="preserve">Single Tap - Black </t>
  </si>
  <si>
    <t>Avantco</t>
  </si>
  <si>
    <t>Courtyard Benches</t>
  </si>
  <si>
    <t>Barrel with post</t>
  </si>
  <si>
    <t>Lounge chairs</t>
  </si>
  <si>
    <t>Bistro Table and Chair</t>
  </si>
  <si>
    <t>Outdoor arch</t>
  </si>
  <si>
    <t>Rounded wood arch with lattice on the sides - 6.5ft tall</t>
  </si>
  <si>
    <t>Soap dispenser</t>
  </si>
  <si>
    <t>4 in Bathroom , 1 in coffee bar</t>
  </si>
  <si>
    <t xml:space="preserve">Towel and garbage </t>
  </si>
  <si>
    <t xml:space="preserve">Cabinet- for glassware </t>
  </si>
  <si>
    <t>Glass Front Case with DeShaw Property Tag - wood framing and shelves</t>
  </si>
  <si>
    <t xml:space="preserve">Fire extinguisher-ABC </t>
  </si>
  <si>
    <t>Planted trees</t>
  </si>
  <si>
    <t>On Front Porch of Dining Hall</t>
  </si>
  <si>
    <t>Door mats</t>
  </si>
  <si>
    <t xml:space="preserve">Mirror </t>
  </si>
  <si>
    <t>Toothpick Dispenser</t>
  </si>
  <si>
    <t>Automatic Dispenser - Serve Clean Brand</t>
  </si>
  <si>
    <t>String lights</t>
  </si>
  <si>
    <t>Around Courtyard on poles and eves</t>
  </si>
  <si>
    <t>Ash Tray</t>
  </si>
  <si>
    <t>Outside in courtyard - Tan plastic pedestal</t>
  </si>
  <si>
    <t>Trash Cans</t>
  </si>
  <si>
    <t>For Whole Building: 5 Rubbermaid Slim Jims, 1 white plastic with lid in employee bath. , 1 Stainless Steel with swinging lid</t>
  </si>
  <si>
    <t>Decor</t>
  </si>
  <si>
    <t>Black metal basket with wood bottom</t>
  </si>
  <si>
    <t>Glass Lantern - grey top 10 in tall with LED candle inside</t>
  </si>
  <si>
    <t>Cork board(black plastic frame)</t>
  </si>
  <si>
    <t>Silk Flower Arrangement in concrete box</t>
  </si>
  <si>
    <t>Black Metal square lamp with leaf design on outside</t>
  </si>
  <si>
    <t>3 bird nests with faux bird inside</t>
  </si>
  <si>
    <t>Brochure/paper holder - Dark Wood</t>
  </si>
  <si>
    <t>Tree oil painting</t>
  </si>
  <si>
    <t>Fir and Deciduous trees with yellow leaves</t>
  </si>
  <si>
    <t>Trickling oil painting</t>
  </si>
  <si>
    <t>Bench Oil Painting</t>
  </si>
  <si>
    <t>Wood Bench in forest in front of a tree</t>
  </si>
  <si>
    <t>Stump Oil Painting</t>
  </si>
  <si>
    <t>Fallen Stump with Splintered Wood</t>
  </si>
  <si>
    <t>Lodge Oil Painting</t>
  </si>
  <si>
    <t>Bridge Oil Painting</t>
  </si>
  <si>
    <t>Old Concrete Bridge on HWY. 214</t>
  </si>
  <si>
    <t>Woods Oil Painting</t>
  </si>
  <si>
    <t xml:space="preserve">Photo- walking path </t>
  </si>
  <si>
    <t>Photo of trail in woods with fall leaves scattered around</t>
  </si>
  <si>
    <t>Framed Letter from Camper</t>
  </si>
  <si>
    <t>Photo- Lower North</t>
  </si>
  <si>
    <t>Photo of Lower South Falls in Spring</t>
  </si>
  <si>
    <t xml:space="preserve">Photo- Double </t>
  </si>
  <si>
    <t>Photo- South</t>
  </si>
  <si>
    <t>Bathroom sink</t>
  </si>
  <si>
    <t>Bathroom stainless sink</t>
  </si>
  <si>
    <t>6 &amp; 2</t>
  </si>
  <si>
    <t>6 Toilets and 2 Urinals in public restroom - with stainless steal in wall TP dispensers</t>
  </si>
  <si>
    <t>Built in coat rack</t>
  </si>
  <si>
    <t>Peg coat rack in hallway by restrooms</t>
  </si>
  <si>
    <t xml:space="preserve">Wine rack </t>
  </si>
  <si>
    <t>Black metal decorative doors with grape vines/leaves - wood wine rack inside</t>
  </si>
  <si>
    <t>New</t>
  </si>
  <si>
    <t>Sink - Coffee Bar</t>
  </si>
  <si>
    <t>Stainless Steel sink - wall mounted</t>
  </si>
  <si>
    <t>Outdoor in ground ring - Stone wall - 5 ft. Round</t>
  </si>
  <si>
    <t>Kitchen and Dining Hall - Door Sensor, Motion Detectors with key pad</t>
  </si>
  <si>
    <t>Upper Smith Creek Meeting Hall</t>
  </si>
  <si>
    <t>Projector screen</t>
  </si>
  <si>
    <t>Black - Electric up/down</t>
  </si>
  <si>
    <t>Quartet</t>
  </si>
  <si>
    <t>Large white board</t>
  </si>
  <si>
    <t>Black - Cushioned</t>
  </si>
  <si>
    <t>Room divider</t>
  </si>
  <si>
    <t>Dark wood with 4 panels</t>
  </si>
  <si>
    <t>6 foot table</t>
  </si>
  <si>
    <t>10 - dark wood folding table</t>
  </si>
  <si>
    <t>Water cooler/heater</t>
  </si>
  <si>
    <t>Black Stainless Steal</t>
  </si>
  <si>
    <t>Whirlpool</t>
  </si>
  <si>
    <t>88LIECH-SC-SSS-5L-W</t>
  </si>
  <si>
    <t>Mirror- Floor length</t>
  </si>
  <si>
    <t>Grey Ornate Frame</t>
  </si>
  <si>
    <t>Sunbeam</t>
  </si>
  <si>
    <t>HD3002001</t>
  </si>
  <si>
    <t>Blow-dryer</t>
  </si>
  <si>
    <t>White/Silver</t>
  </si>
  <si>
    <t>Refrigerator</t>
  </si>
  <si>
    <t>Insignia</t>
  </si>
  <si>
    <t>Microwave</t>
  </si>
  <si>
    <t>Black and Stainless Steel</t>
  </si>
  <si>
    <t>Hamilton Beach</t>
  </si>
  <si>
    <t>EM925AJW-P1</t>
  </si>
  <si>
    <t>Insinkerator</t>
  </si>
  <si>
    <t>SST</t>
  </si>
  <si>
    <t>Mirror in Bathroom</t>
  </si>
  <si>
    <t>2 of each</t>
  </si>
  <si>
    <t>Complete 360</t>
  </si>
  <si>
    <t>Flip Chart Stand</t>
  </si>
  <si>
    <t>1 grey - 1 black</t>
  </si>
  <si>
    <t>Fire Poker</t>
  </si>
  <si>
    <t>Table Top Mirrors</t>
  </si>
  <si>
    <t>Blue folding mirror - Plastic, Small</t>
  </si>
  <si>
    <t>Wood Stove with brick surround</t>
  </si>
  <si>
    <t>Schrader</t>
  </si>
  <si>
    <t xml:space="preserve">Stainless Steel Faucet and Basin with instant hot water </t>
  </si>
  <si>
    <t>Delta</t>
  </si>
  <si>
    <t>In back closet on west side of building</t>
  </si>
  <si>
    <t>Reliance</t>
  </si>
  <si>
    <t>650PBRT401</t>
  </si>
  <si>
    <t xml:space="preserve">2 above bathroom sinks </t>
  </si>
  <si>
    <t>Signs</t>
  </si>
  <si>
    <t>Wood - 1 says Silver Falls Conference Center, other Says Upper Smith Creek Meeting Hall</t>
  </si>
  <si>
    <t>Peg Coat Rack</t>
  </si>
  <si>
    <t>USCMH</t>
  </si>
  <si>
    <t>Kitchen</t>
  </si>
  <si>
    <t>Aluminum Serving racks</t>
  </si>
  <si>
    <t>Metal on Wheels</t>
  </si>
  <si>
    <t>5.5 ft tall</t>
  </si>
  <si>
    <t>Burner stove</t>
  </si>
  <si>
    <t>1 oven - 6 burner</t>
  </si>
  <si>
    <t>Wolf</t>
  </si>
  <si>
    <t>1 oven  - 6 burner</t>
  </si>
  <si>
    <t>Butcher block table</t>
  </si>
  <si>
    <t>Light Wood Top with metal legs</t>
  </si>
  <si>
    <t>Boos Block</t>
  </si>
  <si>
    <t>Can opener</t>
  </si>
  <si>
    <t>Mounted to Stainless Steel Table - Metal with Blue Knob</t>
  </si>
  <si>
    <t>Sysco</t>
  </si>
  <si>
    <t>Chem station</t>
  </si>
  <si>
    <t>Ecolab</t>
  </si>
  <si>
    <t>Coffee dispenser - Airpot</t>
  </si>
  <si>
    <t>Alan bros/ Bunn</t>
  </si>
  <si>
    <t>Colander- 2.5 gallon</t>
  </si>
  <si>
    <t>Galvanized Metal - Round with Handles</t>
  </si>
  <si>
    <t>Convection oven</t>
  </si>
  <si>
    <t>Stainless Steel - Double Doors - 2 ovens</t>
  </si>
  <si>
    <t>Blodgett</t>
  </si>
  <si>
    <t>SHO-100-G</t>
  </si>
  <si>
    <t>020314XG024B &amp; 020314XG023T</t>
  </si>
  <si>
    <t>Cookie sheet- industrial</t>
  </si>
  <si>
    <t>Creamer container- stainless</t>
  </si>
  <si>
    <t>Cutting boards large</t>
  </si>
  <si>
    <t>White Plastic - 9, 7 matching with finger cut out, 2 plain large rectangle</t>
  </si>
  <si>
    <t xml:space="preserve">7 - Cut and Carry </t>
  </si>
  <si>
    <t>Deep fryer</t>
  </si>
  <si>
    <t>2 Basket, Freestanding , Gas powered</t>
  </si>
  <si>
    <t>Pitco</t>
  </si>
  <si>
    <t>SG-14</t>
  </si>
  <si>
    <t>G14EA023621</t>
  </si>
  <si>
    <t>Dish soap dispenser</t>
  </si>
  <si>
    <t>Vanguard/Ecolab</t>
  </si>
  <si>
    <t>Rinse Max II and SmartPower</t>
  </si>
  <si>
    <t>Dishwasher</t>
  </si>
  <si>
    <t>Stainless Steel Industrial installed in counter - with steam hood above</t>
  </si>
  <si>
    <t>Hobart</t>
  </si>
  <si>
    <t>AM14T</t>
  </si>
  <si>
    <t>23-1049-323</t>
  </si>
  <si>
    <t>about 20 - associated with Dishwasher - Red and Grey Plastic</t>
  </si>
  <si>
    <t xml:space="preserve">Green wire rack </t>
  </si>
  <si>
    <t>Griddle stove</t>
  </si>
  <si>
    <t>Griddle with Oven underneath - Stainless Steal</t>
  </si>
  <si>
    <t xml:space="preserve">Grill </t>
  </si>
  <si>
    <t>(Char broiler) - Counter Top Industrial - Stainless Steal - Gas</t>
  </si>
  <si>
    <t>Vulcan</t>
  </si>
  <si>
    <t>VCCB36-2</t>
  </si>
  <si>
    <t>Ice maker</t>
  </si>
  <si>
    <t>Stainless steel - upright with top ice maker and bottom ice bin</t>
  </si>
  <si>
    <t>Manitowoc</t>
  </si>
  <si>
    <t>IYT0750A-261</t>
  </si>
  <si>
    <t>Immersion blender</t>
  </si>
  <si>
    <t>Large  size - Industrial - Stainless Steel - Electric(Plug in)</t>
  </si>
  <si>
    <t>Robotcoupe</t>
  </si>
  <si>
    <t>MP450 Turbo</t>
  </si>
  <si>
    <t>Meat slicer</t>
  </si>
  <si>
    <t>Stainless Steel with Red Plastic Handles- Industrial</t>
  </si>
  <si>
    <t>Berkel</t>
  </si>
  <si>
    <t>827A</t>
  </si>
  <si>
    <t>9775-00018-09045</t>
  </si>
  <si>
    <t>Mixer medium- 20qt</t>
  </si>
  <si>
    <t>Electric Stand Mixer with whisk/dough hook/flat beater</t>
  </si>
  <si>
    <t>A200</t>
  </si>
  <si>
    <t>3 ft tall</t>
  </si>
  <si>
    <t>Mixer small - 5qt</t>
  </si>
  <si>
    <t>Electric Stand Mizer with Dough hook/ Whisk/Flat beater</t>
  </si>
  <si>
    <t>N50</t>
  </si>
  <si>
    <t>Steam Kettle</t>
  </si>
  <si>
    <t xml:space="preserve">Stainless Steel - Free Standing </t>
  </si>
  <si>
    <t>Groen</t>
  </si>
  <si>
    <t>DEE74-20</t>
  </si>
  <si>
    <t>Muffin tin</t>
  </si>
  <si>
    <t>8 tins with holes for 12 large muffins/tin - Metal, 2 tins with 24 holes for standard muffins</t>
  </si>
  <si>
    <t>Black Printer/Copier</t>
  </si>
  <si>
    <t>Epson</t>
  </si>
  <si>
    <t>WF-2760</t>
  </si>
  <si>
    <t>2N3073331</t>
  </si>
  <si>
    <t>Refrigerator stainless</t>
  </si>
  <si>
    <t>3 door  - Stainless Steel</t>
  </si>
  <si>
    <t>Victory</t>
  </si>
  <si>
    <t>RAA-3DS9</t>
  </si>
  <si>
    <t>G9943665</t>
  </si>
  <si>
    <t>Rolling bins</t>
  </si>
  <si>
    <t>Rolling carts</t>
  </si>
  <si>
    <t>Salt &amp; Pepper shakers</t>
  </si>
  <si>
    <t>Clear Glass - 13 round, 11 Square, 1 fluted - no tops, 16 out on dining tables with lids</t>
  </si>
  <si>
    <t>Soup Warmer</t>
  </si>
  <si>
    <t>Nemco</t>
  </si>
  <si>
    <t>6102A</t>
  </si>
  <si>
    <t>L13-057</t>
  </si>
  <si>
    <t xml:space="preserve">Stainless container insert </t>
  </si>
  <si>
    <t>Stainless steel table</t>
  </si>
  <si>
    <t>Stainless Prep Surface with bottom shelf - Counter height</t>
  </si>
  <si>
    <t>10 ft</t>
  </si>
  <si>
    <t>Stainless steel table for grill</t>
  </si>
  <si>
    <t>Stainless table - about half counter height - currently holding Grill</t>
  </si>
  <si>
    <t>Stainless wire rack</t>
  </si>
  <si>
    <t>6 - 5 shelf, 2 - 6 shelf</t>
  </si>
  <si>
    <t>Warmer &amp; trays</t>
  </si>
  <si>
    <t>Glass door and Stainless Steel Cabinet on Wheels  with trays inside - Electric</t>
  </si>
  <si>
    <t>WinHolt</t>
  </si>
  <si>
    <t>NHPL-1836-ECOC</t>
  </si>
  <si>
    <t>5ft tall</t>
  </si>
  <si>
    <t>Warming tray</t>
  </si>
  <si>
    <t>American Perm ware</t>
  </si>
  <si>
    <t>HFW-3</t>
  </si>
  <si>
    <t>0305D00462</t>
  </si>
  <si>
    <t>American Perm Ware</t>
  </si>
  <si>
    <t xml:space="preserve">Wire Rack </t>
  </si>
  <si>
    <t>Rolling cart</t>
  </si>
  <si>
    <t>Stainless Steel with 2 shelves - enclosed on 3 sides - square</t>
  </si>
  <si>
    <t>Sandwich Prep Table with Refrigerator Base</t>
  </si>
  <si>
    <t>Stainless Steel - with flip up lid and plastic prep surface - 2 wire shelves in fridge unit</t>
  </si>
  <si>
    <t>True/Superior</t>
  </si>
  <si>
    <t>TSSU-27-08</t>
  </si>
  <si>
    <t xml:space="preserve">Microwave </t>
  </si>
  <si>
    <t>Black/Stainless Steel - 1200W</t>
  </si>
  <si>
    <t xml:space="preserve"> Panasonic</t>
  </si>
  <si>
    <t>Inverter</t>
  </si>
  <si>
    <t xml:space="preserve">Food Processor </t>
  </si>
  <si>
    <t xml:space="preserve"> Countertop size with Slicing/grating attachments (grey/maroon color)</t>
  </si>
  <si>
    <t xml:space="preserve"> Robot Coupe</t>
  </si>
  <si>
    <t>Coffee Grinder</t>
  </si>
  <si>
    <t>Automatic Dual Hopper Multi-Grind Commercial Coffee Bean Grinder</t>
  </si>
  <si>
    <t xml:space="preserve">Allen Bros </t>
  </si>
  <si>
    <t>Coffee Maker</t>
  </si>
  <si>
    <t>Twin Airpot Coffee Brewer - 120/240V</t>
  </si>
  <si>
    <t xml:space="preserve">Bunn </t>
  </si>
  <si>
    <t>CWTF Twin-APS, 120/240v SF</t>
  </si>
  <si>
    <t xml:space="preserve">Stainless Steel Table </t>
  </si>
  <si>
    <t>Counter Height about 4x3ft., with lower shelf, Green painted legs</t>
  </si>
  <si>
    <t>Fire extinguisher- grease</t>
  </si>
  <si>
    <t xml:space="preserve">Soap &amp; towel </t>
  </si>
  <si>
    <t>Cleaning supplies</t>
  </si>
  <si>
    <t>Eye Wash Station</t>
  </si>
  <si>
    <t>Mop + Bucket(Rubbermaid), 2 brooms, Dust pan with upright handle</t>
  </si>
  <si>
    <t>Trash cans</t>
  </si>
  <si>
    <t>Roasting sticks</t>
  </si>
  <si>
    <t>First aide kit</t>
  </si>
  <si>
    <t>Misc. Dinnerware</t>
  </si>
  <si>
    <t>8x12 serving tray - white ceramic rectangle with rounded corners</t>
  </si>
  <si>
    <t>6x10in rectangle ceramic bowl - white</t>
  </si>
  <si>
    <t>6in round ceramic plate - white</t>
  </si>
  <si>
    <t>4in round shallow bowl - white ceramic</t>
  </si>
  <si>
    <t>Wood Serving Bowl - Round - 10in round</t>
  </si>
  <si>
    <t>Mini Ramekin (condiment cup) - square ceramic</t>
  </si>
  <si>
    <t>Bullion Spoons - 24 - new in box</t>
  </si>
  <si>
    <t>Forks, Knife, Spoon - Place Setting for about 120</t>
  </si>
  <si>
    <t>Drinkware</t>
  </si>
  <si>
    <t>Drinking Glass - 2 octagon base - clear glass, 1 fluted round base - clear glass</t>
  </si>
  <si>
    <t>Melamine Serving ware</t>
  </si>
  <si>
    <t>12in round deep bowl</t>
  </si>
  <si>
    <t>Square Bowl (Origami style)</t>
  </si>
  <si>
    <t>XL oval serving tray</t>
  </si>
  <si>
    <t xml:space="preserve">XL oval tray with decorative edge </t>
  </si>
  <si>
    <t>Rectangle 8x20 in with 2in sides</t>
  </si>
  <si>
    <t>Square Plate - 10x10</t>
  </si>
  <si>
    <t>Square Plate - 12x12</t>
  </si>
  <si>
    <t>Round Plate - 12in</t>
  </si>
  <si>
    <t>Hotel Pans(Metal)</t>
  </si>
  <si>
    <t>Hotel Pans - Clear Plastic - with lids</t>
  </si>
  <si>
    <t>Hotel Pans - Black Plastic</t>
  </si>
  <si>
    <t>Square Food Storage Containers - Polycarbonate - with lids</t>
  </si>
  <si>
    <t xml:space="preserve">Pastry Display Case </t>
  </si>
  <si>
    <t>Plexiglas with door - 3 shelf - countertop size</t>
  </si>
  <si>
    <t>Labels for Buffet line</t>
  </si>
  <si>
    <t>13 - half circle shape - Stainless Steel, 11 - chalkboard(4x6in) freestanding</t>
  </si>
  <si>
    <t>Table Runners</t>
  </si>
  <si>
    <t>2 Fall pattern</t>
  </si>
  <si>
    <t>Flower Arrangements</t>
  </si>
  <si>
    <t>5 Silk Flower Arrangements in metal pot/glass vase/ 3 mini concrete-esque pots</t>
  </si>
  <si>
    <t>Birdcage</t>
  </si>
  <si>
    <t>Small Decorative - matching to ones in Laundry Storage area - brown wire</t>
  </si>
  <si>
    <t>Whiteboards</t>
  </si>
  <si>
    <t>3 - hanging on wall</t>
  </si>
  <si>
    <t>1 square glass vase</t>
  </si>
  <si>
    <t>1 hourglass vase</t>
  </si>
  <si>
    <t>With Fire Suppression - over Buffet Cooking Area(Deep Fryer, Burner Stove, Griddle)</t>
  </si>
  <si>
    <t>Range Guard</t>
  </si>
  <si>
    <t>Garbage disposal</t>
  </si>
  <si>
    <t>Installed in single basin sink to the right of the dishwasher</t>
  </si>
  <si>
    <t>Pro-1100XL3</t>
  </si>
  <si>
    <t>With Fire Suppression - over Convention Oven/Burner Stove/Large Mixer</t>
  </si>
  <si>
    <t>Gaylord</t>
  </si>
  <si>
    <t xml:space="preserve">Stainless 4 sink </t>
  </si>
  <si>
    <t>Wrap around stainless counter with Dish Sanitizing Stations</t>
  </si>
  <si>
    <t>Stainless steel counter</t>
  </si>
  <si>
    <t>Built in with Cabinets below - Island and along outside walls</t>
  </si>
  <si>
    <t>2 Door - Installed in Building</t>
  </si>
  <si>
    <t>Imperial</t>
  </si>
  <si>
    <t>FL-3-88W</t>
  </si>
  <si>
    <t>12-BX-49674-01A</t>
  </si>
  <si>
    <t>Black Side Table</t>
  </si>
  <si>
    <t>Wood Rectangle with turned spindle legs</t>
  </si>
  <si>
    <t>Round Side Table</t>
  </si>
  <si>
    <t>Round wood top with chrome metal legs</t>
  </si>
  <si>
    <t>Threshold</t>
  </si>
  <si>
    <t>17in round</t>
  </si>
  <si>
    <t>Clear Glass Vase</t>
  </si>
  <si>
    <t>2 - 7 in tall round</t>
  </si>
  <si>
    <t>Fake Plants</t>
  </si>
  <si>
    <t>Green with Metal Handle and OPRD logo</t>
  </si>
  <si>
    <t>Outdoor ashtray</t>
  </si>
  <si>
    <t>Tan pedestal</t>
  </si>
  <si>
    <t>Safe Smoker</t>
  </si>
  <si>
    <t>Octagon Wood Arch</t>
  </si>
  <si>
    <t>Serving Bar - Wood</t>
  </si>
  <si>
    <t>Log Benches (4)</t>
  </si>
  <si>
    <t xml:space="preserve">Carts- firewood/luggage  </t>
  </si>
  <si>
    <t>Log bench</t>
  </si>
  <si>
    <t>Large Log with Seat cut in</t>
  </si>
  <si>
    <t>Tiny Cabins</t>
  </si>
  <si>
    <t>A</t>
  </si>
  <si>
    <t>Wood with 2 drawers</t>
  </si>
  <si>
    <t>Instant flow</t>
  </si>
  <si>
    <t>S46L</t>
  </si>
  <si>
    <t xml:space="preserve">Towel rack </t>
  </si>
  <si>
    <t>1 -Chrome, 1 - wood towel bar</t>
  </si>
  <si>
    <t>Cadet Heater in wall - Mounted</t>
  </si>
  <si>
    <t>Wood attached to wall</t>
  </si>
  <si>
    <t>Exhaust fan</t>
  </si>
  <si>
    <t>Sink cabinet</t>
  </si>
  <si>
    <t>Tankless water heater</t>
  </si>
  <si>
    <t xml:space="preserve">Rheem </t>
  </si>
  <si>
    <t>RTEX-06</t>
  </si>
  <si>
    <t>Heater</t>
  </si>
  <si>
    <t>Small Heater in wall - Mounted</t>
  </si>
  <si>
    <t>Mirror</t>
  </si>
  <si>
    <t>G</t>
  </si>
  <si>
    <t>C</t>
  </si>
  <si>
    <t>Full bed with toper</t>
  </si>
  <si>
    <t>Striped Mattress with Foam Topper</t>
  </si>
  <si>
    <t>Full bed frame</t>
  </si>
  <si>
    <t>Hollywood Frame</t>
  </si>
  <si>
    <t>Alarm clock</t>
  </si>
  <si>
    <t>Black</t>
  </si>
  <si>
    <t>Phillips</t>
  </si>
  <si>
    <t>Magic Chef</t>
  </si>
  <si>
    <t>Table &amp; two chairs</t>
  </si>
  <si>
    <t>27 in round table</t>
  </si>
  <si>
    <t>32x24in round seat on chair</t>
  </si>
  <si>
    <t>Smoke detector</t>
  </si>
  <si>
    <t>Broom</t>
  </si>
  <si>
    <t>Wood Rack with 3 Hooks</t>
  </si>
  <si>
    <t>Luggage Rack</t>
  </si>
  <si>
    <t>Large - 5 Black straps with chrome legs(same as lodges)</t>
  </si>
  <si>
    <t>Door Mat</t>
  </si>
  <si>
    <t>Trash can</t>
  </si>
  <si>
    <t>Mattress and box Spring</t>
  </si>
  <si>
    <t>Rug</t>
  </si>
  <si>
    <t xml:space="preserve"> G(1)</t>
  </si>
  <si>
    <t>C(2)</t>
  </si>
  <si>
    <t>Twin mattress</t>
  </si>
  <si>
    <t>2 Monitor 266 - 1 Striped</t>
  </si>
  <si>
    <t>Monitor 266</t>
  </si>
  <si>
    <t>Twin frame</t>
  </si>
  <si>
    <t>Wood with Orange/Brown Upholstery Headboard</t>
  </si>
  <si>
    <t>Black and Decker</t>
  </si>
  <si>
    <t>CM1160</t>
  </si>
  <si>
    <t>Lamp</t>
  </si>
  <si>
    <t>Black with No Shade</t>
  </si>
  <si>
    <t xml:space="preserve">Broom </t>
  </si>
  <si>
    <t>Black 5 straps with Chrome legs</t>
  </si>
  <si>
    <t>Red/Black crosshatch pattern</t>
  </si>
  <si>
    <t>Wood Coat rack with 3 hooks</t>
  </si>
  <si>
    <t>Art</t>
  </si>
  <si>
    <t>Black frame with photo of tree</t>
  </si>
  <si>
    <t>Mr. Coffee</t>
  </si>
  <si>
    <t>BVMC-PC12BL2-NP</t>
  </si>
  <si>
    <t>RP5400B</t>
  </si>
  <si>
    <t>Brass - 2 with metallic butterfly Shade, 1 with Metallic Stars Shade</t>
  </si>
  <si>
    <t>Broom and Dust Pan</t>
  </si>
  <si>
    <t>Black frame with photo of Lower South Falls</t>
  </si>
  <si>
    <t>Table &amp; One Chair</t>
  </si>
  <si>
    <t>Metal table with 1 metal Chair</t>
  </si>
  <si>
    <t>28in round table</t>
  </si>
  <si>
    <t>Black - 5 cup</t>
  </si>
  <si>
    <t xml:space="preserve">White - In Wall </t>
  </si>
  <si>
    <t>Black with MP3 capability</t>
  </si>
  <si>
    <t>Timex</t>
  </si>
  <si>
    <t>Black frame with photo of creek with bridge</t>
  </si>
  <si>
    <t xml:space="preserve"> A</t>
  </si>
  <si>
    <t>B</t>
  </si>
  <si>
    <t>D</t>
  </si>
  <si>
    <t>E</t>
  </si>
  <si>
    <t>F</t>
  </si>
  <si>
    <t xml:space="preserve"> </t>
  </si>
  <si>
    <t>Wood with 2 drawers and Formica counter</t>
  </si>
  <si>
    <t>Rheem</t>
  </si>
  <si>
    <t>Performance</t>
  </si>
  <si>
    <t>RETEX-13</t>
  </si>
  <si>
    <t>Chrome - stacking hoops to place folded towels on</t>
  </si>
  <si>
    <t>Wood Frame - built in to wall</t>
  </si>
  <si>
    <t>Cadet Wall heater</t>
  </si>
  <si>
    <t>Under Sink</t>
  </si>
  <si>
    <t>W152</t>
  </si>
  <si>
    <t>Dark wood with Light Stone Countertop</t>
  </si>
  <si>
    <t>Under sink - Blue</t>
  </si>
  <si>
    <t>Tiny Titan</t>
  </si>
  <si>
    <t>E1E2.5US</t>
  </si>
  <si>
    <t>White - under sink</t>
  </si>
  <si>
    <t>Stiebel Eltron</t>
  </si>
  <si>
    <t>Wood with 2 drawers and Formica Counter</t>
  </si>
  <si>
    <t>W-152</t>
  </si>
  <si>
    <t>H</t>
  </si>
  <si>
    <t>Brown cabinets (3 drawer) with speckled countertop</t>
  </si>
  <si>
    <t>White in Bathroom</t>
  </si>
  <si>
    <t>MDF wood with enclosed shelf</t>
  </si>
  <si>
    <t>Water heater- shared</t>
  </si>
  <si>
    <t>Desk attached</t>
  </si>
  <si>
    <t>Mirror above sink - dark brown frame</t>
  </si>
  <si>
    <t>Cadet wall heaters</t>
  </si>
  <si>
    <t>Twin Mattress</t>
  </si>
  <si>
    <t>Monitor 266 printed on mattress - blue/green fabric</t>
  </si>
  <si>
    <t>Twin Frame</t>
  </si>
  <si>
    <t>Wood frame with orange/yellow upholstery on head board</t>
  </si>
  <si>
    <t>Soap dish</t>
  </si>
  <si>
    <t>MCM9908</t>
  </si>
  <si>
    <t>Mini fridge</t>
  </si>
  <si>
    <t>Hair dryer</t>
  </si>
  <si>
    <t>Black and Silver</t>
  </si>
  <si>
    <t>Green Sense</t>
  </si>
  <si>
    <t>Shower caddy</t>
  </si>
  <si>
    <t>Silver - Hanging from Showerhead</t>
  </si>
  <si>
    <t>Luggage rack</t>
  </si>
  <si>
    <t>Chrome with Black Straps</t>
  </si>
  <si>
    <t>TV</t>
  </si>
  <si>
    <t>Black, Wall Mounted</t>
  </si>
  <si>
    <t>NS - 32DR31ONA17</t>
  </si>
  <si>
    <t>33in</t>
  </si>
  <si>
    <t>Blue Ray player</t>
  </si>
  <si>
    <t>Black -Blu-ray capable</t>
  </si>
  <si>
    <t>Sony</t>
  </si>
  <si>
    <t>BDP-S3700</t>
  </si>
  <si>
    <t>Chair- Parsons</t>
  </si>
  <si>
    <t>Green and blue striped cushion - brown legs</t>
  </si>
  <si>
    <t>World Market</t>
  </si>
  <si>
    <t>Grey/Black with radio and MP3</t>
  </si>
  <si>
    <t>Valance</t>
  </si>
  <si>
    <t>Wall mounted - Oil rubbed bronze with tan shade</t>
  </si>
  <si>
    <t>In Rafters</t>
  </si>
  <si>
    <t>Amerex ABC - by front door</t>
  </si>
  <si>
    <t xml:space="preserve">Wood Frame </t>
  </si>
  <si>
    <t>Coat rack attached</t>
  </si>
  <si>
    <t>Wood with closet rod and shelf above</t>
  </si>
  <si>
    <t>Wall Shelf</t>
  </si>
  <si>
    <t>Wood with metal brackets - for DVD player</t>
  </si>
  <si>
    <t>Hangers</t>
  </si>
  <si>
    <t>Door mat</t>
  </si>
  <si>
    <t>Amazon basic</t>
  </si>
  <si>
    <t>S9N29R</t>
  </si>
  <si>
    <t>RFR320-B</t>
  </si>
  <si>
    <t>HD3002005</t>
  </si>
  <si>
    <t>NS - 32DR310NA17</t>
  </si>
  <si>
    <t>Samsung</t>
  </si>
  <si>
    <t>BDHM57C</t>
  </si>
  <si>
    <t>Green/Blue floral with tan background</t>
  </si>
  <si>
    <t xml:space="preserve">Brown Marble </t>
  </si>
  <si>
    <t>Black and Silver - wall mounted</t>
  </si>
  <si>
    <t>Silver- Hanging on Showerhead</t>
  </si>
  <si>
    <t>TCL</t>
  </si>
  <si>
    <t>BD-HM57C</t>
  </si>
  <si>
    <t>Floral cushion upholstery with light wood legs</t>
  </si>
  <si>
    <t>Night stand</t>
  </si>
  <si>
    <t>Wood with black drawer and door - Plug in compartment</t>
  </si>
  <si>
    <t>Queen Mattress</t>
  </si>
  <si>
    <t>Mattress with "pillow top" and Box Spring</t>
  </si>
  <si>
    <t>Sealy</t>
  </si>
  <si>
    <t>Queen Frame</t>
  </si>
  <si>
    <t>Metal Frame</t>
  </si>
  <si>
    <t>White Ceramic - Oval</t>
  </si>
  <si>
    <t>Stainless Steel Front with Black Sides</t>
  </si>
  <si>
    <t>HMR440SE</t>
  </si>
  <si>
    <t>NS32DR310NA17</t>
  </si>
  <si>
    <t>LG</t>
  </si>
  <si>
    <t>DP1324H</t>
  </si>
  <si>
    <t>Green and blue Striped Cushion with brown legs</t>
  </si>
  <si>
    <t>Wood with one small drawer and lower shelf</t>
  </si>
  <si>
    <t>2 Valences and 1 set of curtains(white/tan print) - rod broken and valance ripping in places</t>
  </si>
  <si>
    <t>2 Framed Picture - 4 Signs</t>
  </si>
  <si>
    <t>2 -Red Wood Adirondack Chair and 1 - Bench outside Duplex</t>
  </si>
  <si>
    <t>Raccoon</t>
  </si>
  <si>
    <t>Lodges</t>
  </si>
  <si>
    <t>Cast Iron, Black - Regency Freestanding Stove</t>
  </si>
  <si>
    <t>Regency</t>
  </si>
  <si>
    <t>F2400M</t>
  </si>
  <si>
    <t>Kohler/Delta Brand with Specked Counter top</t>
  </si>
  <si>
    <t>TPI Corp.</t>
  </si>
  <si>
    <t>Rheem Marathon</t>
  </si>
  <si>
    <t>not in use</t>
  </si>
  <si>
    <t>Kenmore</t>
  </si>
  <si>
    <t>Towel Bar</t>
  </si>
  <si>
    <t>Black Metal</t>
  </si>
  <si>
    <t xml:space="preserve"> Coat Rack</t>
  </si>
  <si>
    <t>Wood - 2 with pegs</t>
  </si>
  <si>
    <t>Alder</t>
  </si>
  <si>
    <t>Queen mattress &amp; box</t>
  </si>
  <si>
    <t>Black and White Floral</t>
  </si>
  <si>
    <t>Queen frame</t>
  </si>
  <si>
    <t>Nightstands</t>
  </si>
  <si>
    <t>Blue - 1 drawer and glass door</t>
  </si>
  <si>
    <t>Joffen</t>
  </si>
  <si>
    <t>Bedside lamp</t>
  </si>
  <si>
    <t>Iron with birds and leaves on base</t>
  </si>
  <si>
    <t>Safavieh</t>
  </si>
  <si>
    <t>Table Lamp</t>
  </si>
  <si>
    <t>Iron with 3 curled feet at base</t>
  </si>
  <si>
    <t xml:space="preserve">Luggage rack </t>
  </si>
  <si>
    <t>Chrome with Black Straps - SM(4 straps): 2 - L(5 strap): 6</t>
  </si>
  <si>
    <t>22 or 28</t>
  </si>
  <si>
    <t>Closet- freestanding</t>
  </si>
  <si>
    <t>Wood with 2 shelves</t>
  </si>
  <si>
    <t>Desk Chair</t>
  </si>
  <si>
    <t>Plastic with Metal legs and Grey Upholstery on seat</t>
  </si>
  <si>
    <t>MDF wood - Built in to wall</t>
  </si>
  <si>
    <t>White and Silver and Black and Silver</t>
  </si>
  <si>
    <t>HD - 3002005</t>
  </si>
  <si>
    <t xml:space="preserve">Kitchenet Stand </t>
  </si>
  <si>
    <t>Wood with shelf for microwave and coffee maker</t>
  </si>
  <si>
    <t>Black with separate fridge and freezer</t>
  </si>
  <si>
    <t>Midea</t>
  </si>
  <si>
    <t>MCM990B</t>
  </si>
  <si>
    <t>Coffeepot</t>
  </si>
  <si>
    <t>Fire tools</t>
  </si>
  <si>
    <t>Shovel, Broom, Poker - Iron Black</t>
  </si>
  <si>
    <t>Couches</t>
  </si>
  <si>
    <t>E-Z Chair</t>
  </si>
  <si>
    <t>Dining Table</t>
  </si>
  <si>
    <t>MDF round table with square frames for legs</t>
  </si>
  <si>
    <t>48 round</t>
  </si>
  <si>
    <t>Wood arms/legs and blue upholstered cushions</t>
  </si>
  <si>
    <t>2 Red Benches and 1Red Chair, 2 Blue side tables</t>
  </si>
  <si>
    <t>20 in square table, 59x27 bench, 72x20 Bench, 29x27 Chair</t>
  </si>
  <si>
    <t>End Table</t>
  </si>
  <si>
    <t>Same style legs as dining table</t>
  </si>
  <si>
    <t>Coffee table</t>
  </si>
  <si>
    <t>Oak with Black stone top</t>
  </si>
  <si>
    <t>Blu-ray Player</t>
  </si>
  <si>
    <t>BD - HM57C</t>
  </si>
  <si>
    <t>TV- flat screen</t>
  </si>
  <si>
    <t>40in Black</t>
  </si>
  <si>
    <t>LN40D550K1FXZA</t>
  </si>
  <si>
    <t xml:space="preserve">40in </t>
  </si>
  <si>
    <t>Wall mount Lamp</t>
  </si>
  <si>
    <t>Black with tan tapered shade</t>
  </si>
  <si>
    <t xml:space="preserve">Wood / Metal frame - long and slim </t>
  </si>
  <si>
    <t>Mirror- small</t>
  </si>
  <si>
    <t>Wood Frame</t>
  </si>
  <si>
    <t>Floor length mirror</t>
  </si>
  <si>
    <t>Large - bronze/ brown frame</t>
  </si>
  <si>
    <t>4 Chrome - mounted on wall in each bedroom - 2 Wood with Closet rod</t>
  </si>
  <si>
    <t>Shower Cady</t>
  </si>
  <si>
    <t>9 - small in room and bathroom - 1 deck trash can</t>
  </si>
  <si>
    <t>Towel Bins</t>
  </si>
  <si>
    <t>Soap and PT dispenser</t>
  </si>
  <si>
    <t>2 of each  - Black</t>
  </si>
  <si>
    <t>Floor Mats</t>
  </si>
  <si>
    <t xml:space="preserve">4 - 2 carpet, 2 plastic </t>
  </si>
  <si>
    <t>Alarm Clock</t>
  </si>
  <si>
    <t>Iron Board + Iron</t>
  </si>
  <si>
    <t>Proctor Silex</t>
  </si>
  <si>
    <t>Power Strips</t>
  </si>
  <si>
    <t xml:space="preserve">Blueberry </t>
  </si>
  <si>
    <t>Brown base with burlap - Tan shade</t>
  </si>
  <si>
    <t>Chrome with Black Straps - SM(4 straps): 3 - L(5 strap): 4</t>
  </si>
  <si>
    <t>Desk</t>
  </si>
  <si>
    <t>White with freezer compartment inside fridge</t>
  </si>
  <si>
    <t>HHR330WE</t>
  </si>
  <si>
    <t>White</t>
  </si>
  <si>
    <t>Sharp</t>
  </si>
  <si>
    <t>R306LW</t>
  </si>
  <si>
    <t>SK13</t>
  </si>
  <si>
    <t>Octagon with pedestal leg in middle</t>
  </si>
  <si>
    <t>2 Benches and 1 Chair - Red, 4 Blue side tables</t>
  </si>
  <si>
    <t>BDP-53500</t>
  </si>
  <si>
    <t>Tv- flat screen</t>
  </si>
  <si>
    <t>3 Wood Frame</t>
  </si>
  <si>
    <t>Towel rack</t>
  </si>
  <si>
    <t>16 Framed Photos - Water falls/ other places in Silver Falls SP (one directly mounted to the wall(frame nailed to wall)</t>
  </si>
  <si>
    <t xml:space="preserve">Steamer </t>
  </si>
  <si>
    <t>Epica</t>
  </si>
  <si>
    <t>Woodstove</t>
  </si>
  <si>
    <t>Furnace</t>
  </si>
  <si>
    <t>21F20TC24</t>
  </si>
  <si>
    <t>Water Heater</t>
  </si>
  <si>
    <t xml:space="preserve">Central Vac System </t>
  </si>
  <si>
    <t>3 bar - 2 hand towel loops</t>
  </si>
  <si>
    <t>Wood Bin</t>
  </si>
  <si>
    <t>Blueberry</t>
  </si>
  <si>
    <t>MBR1600AA-1AB</t>
  </si>
  <si>
    <t>Rheem Performance Platinum</t>
  </si>
  <si>
    <t>Astrovac</t>
  </si>
  <si>
    <t>Cedar</t>
  </si>
  <si>
    <t>Brown with Burlap - Tan Shade</t>
  </si>
  <si>
    <t>Chrome with Black Straps - SM(4 straps): 4 - L(5 strap): 6</t>
  </si>
  <si>
    <t xml:space="preserve"> Black and Silver</t>
  </si>
  <si>
    <t>RFR320B-Black-COM</t>
  </si>
  <si>
    <t>2 Benches and 2 Chair - Red, 2 Blue side tables</t>
  </si>
  <si>
    <t>BD-D5300</t>
  </si>
  <si>
    <t>Large with Gray wood frame</t>
  </si>
  <si>
    <t>Wire Shelf</t>
  </si>
  <si>
    <t>3 shelves - similar to green kitchen wire shelves but silver</t>
  </si>
  <si>
    <t>1 - White wire hanging on Shower head</t>
  </si>
  <si>
    <t>15 Framed Photos - Water falls/ other places in Silver Falls SP - 1 frame directly nailed to wall</t>
  </si>
  <si>
    <t>Steamer</t>
  </si>
  <si>
    <t>Steamfast</t>
  </si>
  <si>
    <t>Dogwood</t>
  </si>
  <si>
    <t xml:space="preserve">9 - Black Metal- 1 bed frame in furnace closet </t>
  </si>
  <si>
    <t>Wood Spindle</t>
  </si>
  <si>
    <t>Chrome with Black Straps - SM(4 straps): 4 - L(5 strap): 3</t>
  </si>
  <si>
    <t>Black with freezer compartment inside</t>
  </si>
  <si>
    <t>RFR320-B-Black</t>
  </si>
  <si>
    <t>4  Benches and 2 Chair - Red</t>
  </si>
  <si>
    <t xml:space="preserve">Square frame for legs </t>
  </si>
  <si>
    <t>BD-J5700</t>
  </si>
  <si>
    <t>UNJ5200AF</t>
  </si>
  <si>
    <t>Silver wire - similar to wire shelving in SCV kitchen</t>
  </si>
  <si>
    <t>16 Framed Photos - Water falls/ other places in Silver Falls SP - 1 Nailed to wall directly</t>
  </si>
  <si>
    <t>Electrical Central Heating Furnace</t>
  </si>
  <si>
    <t>Astro Vac\</t>
  </si>
  <si>
    <t>Chrome - 3 bars and 2 hand towel hoops</t>
  </si>
  <si>
    <t>MCO165UB</t>
  </si>
  <si>
    <t>DJ16Z06413</t>
  </si>
  <si>
    <t>Calypso</t>
  </si>
  <si>
    <t>Daybed- twin</t>
  </si>
  <si>
    <t xml:space="preserve">World Market </t>
  </si>
  <si>
    <t>Grey with Black banding</t>
  </si>
  <si>
    <t>Hampton and Rhodes</t>
  </si>
  <si>
    <t>HR200</t>
  </si>
  <si>
    <t>Wood Coffee table</t>
  </si>
  <si>
    <t>Grey, Square</t>
  </si>
  <si>
    <t>50 inch smart tv</t>
  </si>
  <si>
    <t>Black with Silver feet supports</t>
  </si>
  <si>
    <t>49S305</t>
  </si>
  <si>
    <t>55in diagonal</t>
  </si>
  <si>
    <t>DVD Player</t>
  </si>
  <si>
    <t>Black - Blu-ray capable</t>
  </si>
  <si>
    <t>BPM25</t>
  </si>
  <si>
    <t>Tv Console</t>
  </si>
  <si>
    <t>Long/ Slim rectangle grey table</t>
  </si>
  <si>
    <t>Table side</t>
  </si>
  <si>
    <t>Round table</t>
  </si>
  <si>
    <t>Round Table w/ drop leaf and pedestal</t>
  </si>
  <si>
    <t>36 round</t>
  </si>
  <si>
    <t>Grey ceramic bottom with tan shade</t>
  </si>
  <si>
    <t>Walmart</t>
  </si>
  <si>
    <t>26 in tall</t>
  </si>
  <si>
    <t xml:space="preserve">Wood  </t>
  </si>
  <si>
    <t>Kitchen bar stools</t>
  </si>
  <si>
    <t>Black with small ice box inside</t>
  </si>
  <si>
    <t>MasterChef</t>
  </si>
  <si>
    <t>Stove</t>
  </si>
  <si>
    <t>Black - 4 burner glass top</t>
  </si>
  <si>
    <t>Frigidaire</t>
  </si>
  <si>
    <t>LFEF3017LBD</t>
  </si>
  <si>
    <t>VF60907210</t>
  </si>
  <si>
    <t>Coffee maker</t>
  </si>
  <si>
    <t>Toaster- basic</t>
  </si>
  <si>
    <t>Stainless Steal - 2 slot</t>
  </si>
  <si>
    <t>22811E</t>
  </si>
  <si>
    <t>A5261DL</t>
  </si>
  <si>
    <t>Kitchen tools- essential</t>
  </si>
  <si>
    <t>Set for 4 dishware</t>
  </si>
  <si>
    <t>4 of each - white L/Sm plates, Bowls, Mugs, Glasses(Clear)</t>
  </si>
  <si>
    <t xml:space="preserve">World </t>
  </si>
  <si>
    <t>Pots &amp; pan- basic</t>
  </si>
  <si>
    <t>T-Fal</t>
  </si>
  <si>
    <t>Queen bed &amp; frame</t>
  </si>
  <si>
    <t>Metal and Wood Frame with Mattress and Box Springs</t>
  </si>
  <si>
    <t>Walker Edison Frame - Indoor mattress</t>
  </si>
  <si>
    <t>13aSLKW</t>
  </si>
  <si>
    <t>Night stands</t>
  </si>
  <si>
    <t>Wood 2 drawer w/pullout table</t>
  </si>
  <si>
    <t>Mirrors</t>
  </si>
  <si>
    <t>Hair dryer &amp; steamer</t>
  </si>
  <si>
    <t xml:space="preserve"> White with stand</t>
  </si>
  <si>
    <t>Sunbeam - Green Sense</t>
  </si>
  <si>
    <t>Brown wood with botanical print cushion</t>
  </si>
  <si>
    <t>Cost Plus</t>
  </si>
  <si>
    <t>Throw pillows</t>
  </si>
  <si>
    <t xml:space="preserve">Hangers </t>
  </si>
  <si>
    <t>Hamper</t>
  </si>
  <si>
    <t>Fire Tools</t>
  </si>
  <si>
    <t>Wire rack</t>
  </si>
  <si>
    <t>3 baskets hanging on rack</t>
  </si>
  <si>
    <t xml:space="preserve">Lantern </t>
  </si>
  <si>
    <t>Bed Side Lamp</t>
  </si>
  <si>
    <t>Black Pedestal with Floral Lamp Shade</t>
  </si>
  <si>
    <t>Built into to closet - wood with pedestal leg</t>
  </si>
  <si>
    <t>Pedestal sink</t>
  </si>
  <si>
    <t>White ceramic</t>
  </si>
  <si>
    <t>Wood stove</t>
  </si>
  <si>
    <t>Lopi</t>
  </si>
  <si>
    <t xml:space="preserve">Oil Rubber Bronze </t>
  </si>
  <si>
    <t>Ecosmart</t>
  </si>
  <si>
    <t>White Casing Mounted on Wall</t>
  </si>
  <si>
    <t>White under sink cupboard in main space</t>
  </si>
  <si>
    <t>SHC 2.5</t>
  </si>
  <si>
    <t>Toilet &amp; urinal</t>
  </si>
  <si>
    <t>3 &amp; 1</t>
  </si>
  <si>
    <t>1 - in built in counter area, 2 in bathroom</t>
  </si>
  <si>
    <t>Painting/Photo</t>
  </si>
  <si>
    <t>Meeting Hall</t>
  </si>
  <si>
    <t>Tables</t>
  </si>
  <si>
    <t>Wood Folding table</t>
  </si>
  <si>
    <t>MDF wood top with metal folding legs - Brown</t>
  </si>
  <si>
    <t>Chair-purple cushioned</t>
  </si>
  <si>
    <t>Wood Folding Chairs</t>
  </si>
  <si>
    <t>Black and Stainless Steel - Hot and Cold Water</t>
  </si>
  <si>
    <t>Outdoor rocking chairs</t>
  </si>
  <si>
    <t>Brown Faux Whicker</t>
  </si>
  <si>
    <t>White board</t>
  </si>
  <si>
    <t>Black frame on easel type stand</t>
  </si>
  <si>
    <t>Drapes</t>
  </si>
  <si>
    <t>4 ft wide panels</t>
  </si>
  <si>
    <t>Av stand</t>
  </si>
  <si>
    <t>Black with wood drawer - rolling cart</t>
  </si>
  <si>
    <t>H. Wilson</t>
  </si>
  <si>
    <t>Round wood top with metal stand</t>
  </si>
  <si>
    <t>3 ft round</t>
  </si>
  <si>
    <t>Hot water on tap</t>
  </si>
  <si>
    <t>Under sink in main space</t>
  </si>
  <si>
    <t>3 soap, 2 paper towel</t>
  </si>
  <si>
    <t>Fire Extinguisher</t>
  </si>
  <si>
    <t xml:space="preserve"> B&amp;W prints</t>
  </si>
  <si>
    <t>2 in Bathrooms - 2 32 gal. in main space</t>
  </si>
  <si>
    <t>Door Mats</t>
  </si>
  <si>
    <t>Blue and white patterned</t>
  </si>
  <si>
    <t>Podium</t>
  </si>
  <si>
    <t>Grey with built in speaker - in poor condition, drawer and doors do not open</t>
  </si>
  <si>
    <t>Barrel</t>
  </si>
  <si>
    <t>Outside on porch</t>
  </si>
  <si>
    <t>Outside bench</t>
  </si>
  <si>
    <t>Rustic log bench - in fair condition - some rot is starting</t>
  </si>
  <si>
    <t>2 power strips</t>
  </si>
  <si>
    <t>1 AC/DC adapter</t>
  </si>
  <si>
    <t>7 Ext. Cords</t>
  </si>
  <si>
    <t>Camera Battery +Charger</t>
  </si>
  <si>
    <t>Microphone</t>
  </si>
  <si>
    <t>Cable line</t>
  </si>
  <si>
    <t>TV adapters</t>
  </si>
  <si>
    <t>Davidson Ranch</t>
  </si>
  <si>
    <t xml:space="preserve">2 XL -1 Standard </t>
  </si>
  <si>
    <t>16 or 8</t>
  </si>
  <si>
    <t>Stone lower and Metal chimney</t>
  </si>
  <si>
    <t>7ft round</t>
  </si>
  <si>
    <t>Wood - Timber Frame style with 2 bench seats</t>
  </si>
  <si>
    <t>Stainless Steel in Ceiling</t>
  </si>
  <si>
    <t>Captive Air</t>
  </si>
  <si>
    <t>Model # 4854ND</t>
  </si>
  <si>
    <t>Toilet &amp; Urinal</t>
  </si>
  <si>
    <t>6&amp;2</t>
  </si>
  <si>
    <t>Sinks - bathroom/cleaning</t>
  </si>
  <si>
    <t>Wood Rack</t>
  </si>
  <si>
    <t xml:space="preserve">Picnic Tables </t>
  </si>
  <si>
    <t>Tung and groove with plywood on top - indoor</t>
  </si>
  <si>
    <t>Cleaning Cupboard</t>
  </si>
  <si>
    <t>Wood with large and small double door cabinets</t>
  </si>
  <si>
    <t>Bunk beds</t>
  </si>
  <si>
    <t>Free Standing Closet</t>
  </si>
  <si>
    <t>Stainless Steel - 1 door</t>
  </si>
  <si>
    <t>T-19-HC</t>
  </si>
  <si>
    <t>Freezer</t>
  </si>
  <si>
    <t>Stainless Steel  - 1 door</t>
  </si>
  <si>
    <t>T-19FZ-HC</t>
  </si>
  <si>
    <t>Stove with griddle and burner</t>
  </si>
  <si>
    <t>Stainless Steel - 6 burner with griddle</t>
  </si>
  <si>
    <t>Metal Shelves</t>
  </si>
  <si>
    <t>Black wire shelves</t>
  </si>
  <si>
    <t>Chest Freezer</t>
  </si>
  <si>
    <t>Danby</t>
  </si>
  <si>
    <t>DCF071A3WDB</t>
  </si>
  <si>
    <t>Stainless Steel and Black</t>
  </si>
  <si>
    <t>Panasonic</t>
  </si>
  <si>
    <t>NN-SA6515</t>
  </si>
  <si>
    <t>Chem Station</t>
  </si>
  <si>
    <t>Fire Extinguishers</t>
  </si>
  <si>
    <t>Wood - 3 sided with 2 shelves</t>
  </si>
  <si>
    <t>Painted brown - Originally white</t>
  </si>
  <si>
    <t>Davidson</t>
  </si>
  <si>
    <t>Sign Cluster</t>
  </si>
  <si>
    <t xml:space="preserve"> Remove before next Concessionaire</t>
  </si>
  <si>
    <t>Mop, Broom, Duster</t>
  </si>
  <si>
    <t>Soap and PT dispensers</t>
  </si>
  <si>
    <t>5 Trash cans</t>
  </si>
  <si>
    <t>Steamer - for clothes</t>
  </si>
  <si>
    <t>Foothills Ranch</t>
  </si>
  <si>
    <t>2 long - 1 short, wood with metal legs</t>
  </si>
  <si>
    <t>Round with Grate - in ground</t>
  </si>
  <si>
    <t>Stone ring with metal chimney</t>
  </si>
  <si>
    <t>Brown with OPRD logo on base</t>
  </si>
  <si>
    <t>Foothills</t>
  </si>
  <si>
    <t xml:space="preserve">Indoor Picnic Tables </t>
  </si>
  <si>
    <t>Dark wood tables with plywood over tongue and grove for top</t>
  </si>
  <si>
    <t>Metal Painted Tan with double doors</t>
  </si>
  <si>
    <t>Bunk beds- Twin with Full</t>
  </si>
  <si>
    <t>25 wood 2x6 frames and 63 mattresses</t>
  </si>
  <si>
    <t>Stainless steal table</t>
  </si>
  <si>
    <t>Stainless Steel with bottom shelf</t>
  </si>
  <si>
    <t>Stainless steel with double doors</t>
  </si>
  <si>
    <t>Upright Stainless Steel - 1 door</t>
  </si>
  <si>
    <t>Round Dining Table</t>
  </si>
  <si>
    <t>MDF wood top with square frame for legs</t>
  </si>
  <si>
    <t>Purple Upholstery Chairs</t>
  </si>
  <si>
    <t>Metal Cart</t>
  </si>
  <si>
    <t>Black metal with 3 white shelves</t>
  </si>
  <si>
    <t>12 cup - Black</t>
  </si>
  <si>
    <t>BVMC-FLX31</t>
  </si>
  <si>
    <t>Stainless Steel 6 burner and grill</t>
  </si>
  <si>
    <t>Benches on Upstairs Deck</t>
  </si>
  <si>
    <t>Wood - painted brown with slated back</t>
  </si>
  <si>
    <t>Mission style table in light wood</t>
  </si>
  <si>
    <t>Mission Bench &amp; chairs</t>
  </si>
  <si>
    <t>Mission style chairs and bench with grey/green cushions, Bench and 2 chairs</t>
  </si>
  <si>
    <t>PT/ Soap Dispenser</t>
  </si>
  <si>
    <t>Chemical Dispensing Station</t>
  </si>
  <si>
    <t xml:space="preserve">Trash Can </t>
  </si>
  <si>
    <t>Recycling Station</t>
  </si>
  <si>
    <t>Bell</t>
  </si>
  <si>
    <t>Plumbing(Consumable?)</t>
  </si>
  <si>
    <t>Mis</t>
  </si>
  <si>
    <t xml:space="preserve">Oakbrook bathroom faucet, Toilet Tank Lever, Flexible pipe, Hose Bibs, Atomic Flushers(Sloan), 4- Sink Drain Kit, 11 - Piece of PVC Pipe </t>
  </si>
  <si>
    <t>fair-new</t>
  </si>
  <si>
    <t>Sprayers</t>
  </si>
  <si>
    <t>3 Gal Pressurized Sprayer</t>
  </si>
  <si>
    <t>HDK</t>
  </si>
  <si>
    <t>Wood stain</t>
  </si>
  <si>
    <t>12 32 oz. cans - Minwax/Varathane,  1 - Mini Minwax can</t>
  </si>
  <si>
    <t>poor( expired)</t>
  </si>
  <si>
    <t>Mattresses</t>
  </si>
  <si>
    <t>Holding tank-rv</t>
  </si>
  <si>
    <t>16 quart drain container - black plastic</t>
  </si>
  <si>
    <t>Live Trap</t>
  </si>
  <si>
    <t>1 large, 1 small - OPRD property loaned to SCV to use</t>
  </si>
  <si>
    <t>Furniture</t>
  </si>
  <si>
    <t>Assortment</t>
  </si>
  <si>
    <t>See Loft Section</t>
  </si>
  <si>
    <t>Loft</t>
  </si>
  <si>
    <t>Can Light Fixture</t>
  </si>
  <si>
    <t>5 - about 8 in round - New in packaging</t>
  </si>
  <si>
    <t>Chair</t>
  </si>
  <si>
    <t>2 - Burlap Cushion with dark wood legs - rounded back - dining chair style</t>
  </si>
  <si>
    <t>Radios</t>
  </si>
  <si>
    <t>20 - Hand Held Waterproof radio with chargers - Floating VHF Radio</t>
  </si>
  <si>
    <t>Cobra Marine</t>
  </si>
  <si>
    <t>HH350</t>
  </si>
  <si>
    <t>Cabinet</t>
  </si>
  <si>
    <t>Brown with slats on double doors - 18x27x43</t>
  </si>
  <si>
    <t>POS - Cash Register Display</t>
  </si>
  <si>
    <t>4 - New in Box - Black</t>
  </si>
  <si>
    <t>Bixolon</t>
  </si>
  <si>
    <t>2 - Hand Held "Float 'N Flash" Black</t>
  </si>
  <si>
    <t>Icon</t>
  </si>
  <si>
    <t>White - Used in Box - 7 Cubic Ft. - 700 Watt</t>
  </si>
  <si>
    <t>Emerson</t>
  </si>
  <si>
    <t>MW7302W</t>
  </si>
  <si>
    <t>Underlayment - Water Proofing</t>
  </si>
  <si>
    <t>1 part roll - self adhesive</t>
  </si>
  <si>
    <t>Blue/grey crisscross pattern, Trash</t>
  </si>
  <si>
    <t>Table Lamp - Wood Spindle - no lampshade</t>
  </si>
  <si>
    <t>Plate Set</t>
  </si>
  <si>
    <t>Ceramic Blue Spotted Turquoise Pattern - 5 bowls, 9 saucers, 4 salad plates, 4 dinner plate, 2 mugs</t>
  </si>
  <si>
    <t>Plate, Dinner</t>
  </si>
  <si>
    <t>4 - Solid Blue Ceramic</t>
  </si>
  <si>
    <t>Mugs/Glasses</t>
  </si>
  <si>
    <t>6 - Assorted Glass/Ceramic</t>
  </si>
  <si>
    <t>Serving Bowl</t>
  </si>
  <si>
    <t>Orange - Melamine Bowl</t>
  </si>
  <si>
    <t>Table Cloths</t>
  </si>
  <si>
    <t>4 - 2 floral, 1 - map print, 1 - orange</t>
  </si>
  <si>
    <t>Bed Frames</t>
  </si>
  <si>
    <t>4 - Hollywood style Full/Queen Size</t>
  </si>
  <si>
    <t>Bed Spreads</t>
  </si>
  <si>
    <t>White - Mouse eaten - TRASH</t>
  </si>
  <si>
    <t>Kitchen/Décor Bin</t>
  </si>
  <si>
    <t>Black Bin with Yellow Top - Mouse Eaten - TRASH</t>
  </si>
  <si>
    <t>Office Chair Base</t>
  </si>
  <si>
    <t>Gold metal with 5 wheels</t>
  </si>
  <si>
    <t>Bed Spread</t>
  </si>
  <si>
    <t>Grey/Green Floral Pattern - Mouse Eaten - TRASH</t>
  </si>
  <si>
    <t>Cushions</t>
  </si>
  <si>
    <t>Faux Leather - Throw Pillow or Cushion</t>
  </si>
  <si>
    <t>4 - Black Metal Folding Frame</t>
  </si>
  <si>
    <t>White - 2 gal. - Sterlite</t>
  </si>
  <si>
    <t>Cake Stands</t>
  </si>
  <si>
    <t>2 - Clear Glass, 1 cut glass and 1 smooth glass</t>
  </si>
  <si>
    <t>Serving Platers</t>
  </si>
  <si>
    <t>Glass - 2 Christmas Themed, 1- cut glass leaf design</t>
  </si>
  <si>
    <t>Laundry Baskets</t>
  </si>
  <si>
    <t>White Plastic - Mainstay brand</t>
  </si>
  <si>
    <t>Sheets</t>
  </si>
  <si>
    <t>Queen Sheet Set - Taupe Stripe pattern, Mira Bella Brand</t>
  </si>
  <si>
    <t>Pillow cases</t>
  </si>
  <si>
    <t>7 - Assorted Colors/ Patterns</t>
  </si>
  <si>
    <t>Beige Woven with Black Boarder 2x3ft</t>
  </si>
  <si>
    <t>2 - Wood Captain Chair Style - Spindle style legs and back</t>
  </si>
  <si>
    <t>Table Cloth</t>
  </si>
  <si>
    <t>Green - Poor Condition</t>
  </si>
  <si>
    <t>Night Stand</t>
  </si>
  <si>
    <t>Wood - Single Drawer - Poor Condition, TRASH</t>
  </si>
  <si>
    <t>Dish Rack</t>
  </si>
  <si>
    <t>Black Plastic - Drying Rack</t>
  </si>
  <si>
    <t>Florescent Light Covers</t>
  </si>
  <si>
    <t>5 - Plastic</t>
  </si>
  <si>
    <t>Magazine/Brochure Racks</t>
  </si>
  <si>
    <t xml:space="preserve">10 - Wood about 2 ft. long </t>
  </si>
  <si>
    <t>Insulation</t>
  </si>
  <si>
    <t>Pink Fiber Glass - 2 rolls - R19</t>
  </si>
  <si>
    <t>7ft wide - Brown/Green/White Patterned Rug</t>
  </si>
  <si>
    <t>Table, Side</t>
  </si>
  <si>
    <t>Slim Side Table - Dark Brown Wood - Missing Leg - TRASH</t>
  </si>
  <si>
    <t>4 queen (1 with Box Spring), 3 twin  - Poor Condition</t>
  </si>
  <si>
    <t xml:space="preserve">Box of Bedding </t>
  </si>
  <si>
    <t xml:space="preserve">Labeled "Bedding for Apartment L (10/22/2019) </t>
  </si>
  <si>
    <t>Sheet Rock</t>
  </si>
  <si>
    <t>3 full sheets</t>
  </si>
  <si>
    <t>Card Table</t>
  </si>
  <si>
    <t>Folding Card Table - White Top - TRASH</t>
  </si>
  <si>
    <t>Coffee Table</t>
  </si>
  <si>
    <t>Wood with Glass Top and Spindle Legs</t>
  </si>
  <si>
    <t>Shop</t>
  </si>
  <si>
    <t>Golf cart</t>
  </si>
  <si>
    <t>With Plastic Covers - #1: EZGO RXV White with Cargo Box, #2 Tan with Cargo Box, #3 EZGO TXT48 Tan with Cargo Box</t>
  </si>
  <si>
    <t>EzGo</t>
  </si>
  <si>
    <t>Cadet covers</t>
  </si>
  <si>
    <t>Drawers of Hardware</t>
  </si>
  <si>
    <t>Scissor jack</t>
  </si>
  <si>
    <t>Leveling Scissor Jack - Black - 5000lb. Capacity</t>
  </si>
  <si>
    <t>Haul Master</t>
  </si>
  <si>
    <t>Bench Vice</t>
  </si>
  <si>
    <t xml:space="preserve">Gas can </t>
  </si>
  <si>
    <t>8 Gas, 1 Deisel</t>
  </si>
  <si>
    <t>Fridge</t>
  </si>
  <si>
    <t xml:space="preserve"> White Fridge with freezer compartment above(from USCMH)</t>
  </si>
  <si>
    <t>HTR16ABSARWW</t>
  </si>
  <si>
    <t>Wheel Barrow</t>
  </si>
  <si>
    <t>True Temper</t>
  </si>
  <si>
    <t>Folding Table - 3ft.</t>
  </si>
  <si>
    <t>White Plastic - Lifetime Brand</t>
  </si>
  <si>
    <t>Paper Towel/TP/Soap Dispenser</t>
  </si>
  <si>
    <t>Paint cans</t>
  </si>
  <si>
    <t>about 30 1 gal. cans</t>
  </si>
  <si>
    <t>Stanchions</t>
  </si>
  <si>
    <t>Cabinet, Toilet Back</t>
  </si>
  <si>
    <t>Black - 2 doors, 1 shelf - over toilet</t>
  </si>
  <si>
    <t>4 drawer, tan - Full Size - with manuals/operations instructions</t>
  </si>
  <si>
    <t>Half Circle - Black Plastic - Woven Design</t>
  </si>
  <si>
    <t>Rubber mats</t>
  </si>
  <si>
    <t>Sprinkler heads</t>
  </si>
  <si>
    <t>Quick Coupler in ground hardware, sprinkler heads 10-15</t>
  </si>
  <si>
    <t>Toilets</t>
  </si>
  <si>
    <t>Sinks</t>
  </si>
  <si>
    <t>Ruud</t>
  </si>
  <si>
    <t>PE80-2A</t>
  </si>
  <si>
    <t>RU 0498134685</t>
  </si>
  <si>
    <t>Haws. Corp</t>
  </si>
  <si>
    <t>Laundry</t>
  </si>
  <si>
    <t>Laundry Room</t>
  </si>
  <si>
    <t>Towels</t>
  </si>
  <si>
    <t>Pillows</t>
  </si>
  <si>
    <t>Dryer</t>
  </si>
  <si>
    <t>White - Commercial</t>
  </si>
  <si>
    <t>Dexter</t>
  </si>
  <si>
    <t>T-80</t>
  </si>
  <si>
    <t>Folding table</t>
  </si>
  <si>
    <t>Washing Machine</t>
  </si>
  <si>
    <t>Stainless Steal - Commercial</t>
  </si>
  <si>
    <t>Fagor</t>
  </si>
  <si>
    <t>FWS-60-TP2 HW</t>
  </si>
  <si>
    <t>37x35x39</t>
  </si>
  <si>
    <t xml:space="preserve">White - Commercial </t>
  </si>
  <si>
    <t>DTCH80V</t>
  </si>
  <si>
    <t>Wire laundry basket</t>
  </si>
  <si>
    <t xml:space="preserve">Fan portable </t>
  </si>
  <si>
    <t>White - Mounted to wall</t>
  </si>
  <si>
    <t>Soap and towel dispenser</t>
  </si>
  <si>
    <t>2 square, 2 32 gallon, 1 Half Circle</t>
  </si>
  <si>
    <t>Stool</t>
  </si>
  <si>
    <t xml:space="preserve">Square - Black Velvet </t>
  </si>
  <si>
    <t>Shelf</t>
  </si>
  <si>
    <t>White - 3 wood shelves, 3ft tall</t>
  </si>
  <si>
    <t>White Board</t>
  </si>
  <si>
    <t>Floor Mat</t>
  </si>
  <si>
    <t>Rubber - 2x3</t>
  </si>
  <si>
    <t>Wire Storage Rack</t>
  </si>
  <si>
    <t>Sheets/Blankets</t>
  </si>
  <si>
    <t>Comforters</t>
  </si>
  <si>
    <t xml:space="preserve"> Bedspreads (White Textured)</t>
  </si>
  <si>
    <t>Flat</t>
  </si>
  <si>
    <t>Fitted</t>
  </si>
  <si>
    <t>Mattress Pads</t>
  </si>
  <si>
    <t>Fleece Blankets</t>
  </si>
  <si>
    <t>Calypso Specific</t>
  </si>
  <si>
    <t>XS Round</t>
  </si>
  <si>
    <t>Sm Round</t>
  </si>
  <si>
    <t>M Round</t>
  </si>
  <si>
    <t>L Round</t>
  </si>
  <si>
    <t>Squares</t>
  </si>
  <si>
    <t>White - 23, Green - 27, Burgundy - 8, Wine - 19, Light Blue - 19, Light Green - 16</t>
  </si>
  <si>
    <t>6ft Rect</t>
  </si>
  <si>
    <t>8ft Rect</t>
  </si>
  <si>
    <t>White - 8, Green - 18</t>
  </si>
  <si>
    <t>10ft Rect</t>
  </si>
  <si>
    <t>Banquet Style</t>
  </si>
  <si>
    <t>10 valances (Tan with Green/Blue Print)</t>
  </si>
  <si>
    <t>Queen Bed Spread - Green/Tan print - Quilted</t>
  </si>
  <si>
    <t>2 - Shower Curtain Hook Set</t>
  </si>
  <si>
    <t>3 - Box Spring Covers - Brown</t>
  </si>
  <si>
    <t>20 Mustard/Yellow Napkins</t>
  </si>
  <si>
    <t>12 White Table Skirts</t>
  </si>
  <si>
    <t>1 Gold Table Runner</t>
  </si>
  <si>
    <t>3 Floral Autum Table Runners</t>
  </si>
  <si>
    <t>2 - Fall Print Table Cloths</t>
  </si>
  <si>
    <t>9 Red Napkins</t>
  </si>
  <si>
    <t>8 Black Napkins</t>
  </si>
  <si>
    <t>1 Light Green Napkin</t>
  </si>
  <si>
    <t>2 Sheer Curtain Panels</t>
  </si>
  <si>
    <t>Yellow with Yellow Floral Print Table Cloth</t>
  </si>
  <si>
    <t>Green with Gold/Floral/Yellow/Burgundy print Curtain</t>
  </si>
  <si>
    <t>Off white with yellow thread running through fabric table cloth(Threshold brand)</t>
  </si>
  <si>
    <t>2 Tan 4x3ft Curtains</t>
  </si>
  <si>
    <t>Tan Rectangle Table Cloth(Threshold Brand)</t>
  </si>
  <si>
    <t>Cappuccino machine</t>
  </si>
  <si>
    <t>Hot Chocolate Dispenser - 2 spouts - Electric - Alan Bros Coffee Branded</t>
  </si>
  <si>
    <t>Grindmaster</t>
  </si>
  <si>
    <t>PIC 2</t>
  </si>
  <si>
    <t>Single serve coffee packs</t>
  </si>
  <si>
    <t>Est 200</t>
  </si>
  <si>
    <t>In Boxes - Not Used by SCV - TRASH</t>
  </si>
  <si>
    <t>expired</t>
  </si>
  <si>
    <t>Shower packs</t>
  </si>
  <si>
    <t>Boxes of mini Shampoo/Conditioner (not used by SCV) TRASH</t>
  </si>
  <si>
    <t>expired?</t>
  </si>
  <si>
    <t>Pan/ Wash Basin</t>
  </si>
  <si>
    <t>Desk Top</t>
  </si>
  <si>
    <t>Black with 2 legs - IKEA - Match with office desks</t>
  </si>
  <si>
    <t>Box Fan</t>
  </si>
  <si>
    <t>Cyclone brand - 18 in round</t>
  </si>
  <si>
    <t>Step Ladder</t>
  </si>
  <si>
    <t>2 step - plastic</t>
  </si>
  <si>
    <t>Clothes Iron</t>
  </si>
  <si>
    <t>7 - Household - Assorted Brands</t>
  </si>
  <si>
    <t>Steamers</t>
  </si>
  <si>
    <t>2 - Handheld - Assorted Brands</t>
  </si>
  <si>
    <t>Iron Boards</t>
  </si>
  <si>
    <t>3 (1 - table top)</t>
  </si>
  <si>
    <t>3 Timex, 2 Phillips, 1 RCA</t>
  </si>
  <si>
    <t>Accounting Calculator/ Receipt Printer</t>
  </si>
  <si>
    <t xml:space="preserve">Canon - MP25DV - </t>
  </si>
  <si>
    <t>Table Cloth Clips</t>
  </si>
  <si>
    <t>1  and 2 in long - Clear Plastic - about 250</t>
  </si>
  <si>
    <t>Mirror - Table top</t>
  </si>
  <si>
    <t>3 - Handheld/tabletop - grey - plastic</t>
  </si>
  <si>
    <t>Birdcage - Mini</t>
  </si>
  <si>
    <t xml:space="preserve">8 - Brown Wire </t>
  </si>
  <si>
    <t>Plexi Glass Paper Holder</t>
  </si>
  <si>
    <t>36 - 8.5x 11</t>
  </si>
  <si>
    <t>Basket</t>
  </si>
  <si>
    <t>Dark Brown Wicker Oval with Handle</t>
  </si>
  <si>
    <t>Towel Rack</t>
  </si>
  <si>
    <t>Chrome - intended to be wall mounted - Same as in Lodges</t>
  </si>
  <si>
    <t>Space Heater</t>
  </si>
  <si>
    <t>Lasko - Grey - Small - Model:5435</t>
  </si>
  <si>
    <t>Black Plastic</t>
  </si>
  <si>
    <t xml:space="preserve">Black Box with: 3 Door/bath mats, Napkin Holder, over door hook, towel rack counter top, fabric bin - tan, V-tech Cordless Phone (white), soap dishes, 5 blue drawer organizer bins, Shower curtain hooks, pens(about 10), Scissors, Lamp Base(Bronze with Clear Glass Beads), Basket(Tan Plastic Wicker style) </t>
  </si>
  <si>
    <t>Upper Loft - All mouse eaten</t>
  </si>
  <si>
    <t>Mattress</t>
  </si>
  <si>
    <t>Full Size</t>
  </si>
  <si>
    <t>Coffee Packets</t>
  </si>
  <si>
    <t>4 boxes full</t>
  </si>
  <si>
    <t>Cushion</t>
  </si>
  <si>
    <t>Blue/Purple Fabric</t>
  </si>
  <si>
    <t>Lost and Found Items?</t>
  </si>
  <si>
    <t>4 pillows and 1 blue fitted sheet</t>
  </si>
  <si>
    <t>Pizza Boxes</t>
  </si>
  <si>
    <t>Cardboard - To-go style - about 20</t>
  </si>
  <si>
    <t>Disposable Cake Plate</t>
  </si>
  <si>
    <t>Cardboard - box of 60</t>
  </si>
  <si>
    <t>Bicycle Inner Tubes</t>
  </si>
  <si>
    <t>Buddha Picture? - 2x3ft.</t>
  </si>
  <si>
    <t>Hotel Pan - 1/9</t>
  </si>
  <si>
    <t>18 - Carlisle brand - Stainless Steel</t>
  </si>
  <si>
    <t>Canister</t>
  </si>
  <si>
    <t>4 - Black -  6in Round</t>
  </si>
  <si>
    <t>Basin</t>
  </si>
  <si>
    <t>18x24x4in metal pan with handles</t>
  </si>
  <si>
    <t>Storage Off Shop</t>
  </si>
  <si>
    <t>Dishware</t>
  </si>
  <si>
    <t>White Ceramic - Match Restaurant Plates - 85 Salad Plates, 34 Dinner Plates</t>
  </si>
  <si>
    <t xml:space="preserve"> Wire stands for hotel pans </t>
  </si>
  <si>
    <t>10 full size, 12 half size</t>
  </si>
  <si>
    <t>Vacuum</t>
  </si>
  <si>
    <t>ORECK XL</t>
  </si>
  <si>
    <t>Coffee pot</t>
  </si>
  <si>
    <t xml:space="preserve">Mr. Coffee Brand (Maybe SCV) </t>
  </si>
  <si>
    <t>Rugs</t>
  </si>
  <si>
    <t>Shelf - Metal</t>
  </si>
  <si>
    <t>Shelf - Wire</t>
  </si>
  <si>
    <t>Wood Spindle with Small Star Lamp Shade</t>
  </si>
  <si>
    <t>Sterlite Storage Containers</t>
  </si>
  <si>
    <t>16 with lids (26 total minus 10 from SCV)</t>
  </si>
  <si>
    <t>1.2 qt Crock</t>
  </si>
  <si>
    <t xml:space="preserve">Cambro  </t>
  </si>
  <si>
    <t>11 lighted branches</t>
  </si>
  <si>
    <t>White and Brown Bark - Willow esque with lighted branch tips</t>
  </si>
  <si>
    <t>3.5 gal beverage dispensers</t>
  </si>
  <si>
    <t>Carlisle</t>
  </si>
  <si>
    <t>N10850 and N10852</t>
  </si>
  <si>
    <t>Black and Silver with MP3 Player and Radio (same as in lodging)</t>
  </si>
  <si>
    <t>Baking Pans - Metal</t>
  </si>
  <si>
    <t>3 - Large Baking/roasting pans with handles 24x18x4 with handles</t>
  </si>
  <si>
    <t xml:space="preserve">Bandana </t>
  </si>
  <si>
    <t>26 Fabric - Red - western style print</t>
  </si>
  <si>
    <t>Banner</t>
  </si>
  <si>
    <t>SFLCC with listed amenities - Plastic (about 2x4 ft)</t>
  </si>
  <si>
    <t>Barstool</t>
  </si>
  <si>
    <t>White Vinyl upholstery - round shape with chrome base</t>
  </si>
  <si>
    <t>Base to Coffee Machine?</t>
  </si>
  <si>
    <t>Stainless Steel Box with Caution Hot Surface Sign and Red Switch</t>
  </si>
  <si>
    <t>Boyds</t>
  </si>
  <si>
    <t>6 - large round woven with handle (Dark Brown), Oval woven with handle cut outs in sides (Light wood), 2 - round with slated sides(1 dark brown with leather handles, 1 light brown with wood handle), round woven with handle(reddish Brown), round with slated sides and wrapped handles(Medium Brown)</t>
  </si>
  <si>
    <t>Board Games</t>
  </si>
  <si>
    <t>3 puzzles, Scatttergories, Mastermind, Trivial Pursuit, Reverse Charades, Scrabble, Cribbage, Pictionary</t>
  </si>
  <si>
    <t>Bowl, Decorative</t>
  </si>
  <si>
    <t>7- Clear Glass fish bowl shaped - 6 in opening</t>
  </si>
  <si>
    <t>Can Holder for Vending Machine</t>
  </si>
  <si>
    <t>White plastic - 4 slots</t>
  </si>
  <si>
    <t xml:space="preserve">Candles - LED </t>
  </si>
  <si>
    <t>24 - Pillar candles - assorted heights/diameters</t>
  </si>
  <si>
    <t>CD Player/ Radio</t>
  </si>
  <si>
    <t>Black with Handle</t>
  </si>
  <si>
    <t>Chafer Stand - Wire</t>
  </si>
  <si>
    <t>Chalkboard Sign</t>
  </si>
  <si>
    <t>Decorative - 6in tall</t>
  </si>
  <si>
    <t>Champagne Flutes - Plastic</t>
  </si>
  <si>
    <t>129 - Clear with Gold Sparkles - New in Box however some are damaged</t>
  </si>
  <si>
    <t>Craft Supplies</t>
  </si>
  <si>
    <t>Jug of Modpodge, Assorted Foam Brushes, Bag of pipe cleaners, 24 red top spice bottles(new), 9 - Paints(Tempera/acrylic assorted colors/sizes), 6 - Small Paint Palettes(white plastic), Gallon bag cinnamon sticks, 7 folding paper snowflakes(gold sparkle), 26 Banner cut out - cardboard, Gallon bag full of popsicle sticks, Chalk/eraser set, 18 fine tip squeeze bottles, 16 12x9 red plastic bins, 2 shoe boxes full of ribbon, Foam ring(floral arranging), Stickers(I heart OPRD, Blue Beach Bill), folding fans(black plastic), Christmas tree maze book, 5 - Hot Glue Guns, 10 packs of glow sticks, Quart bag of crayons, Markers(paint pens) Trash</t>
  </si>
  <si>
    <t>Cube Shelf</t>
  </si>
  <si>
    <t>1 - 8 Cubes, Black, MDF wood</t>
  </si>
  <si>
    <t>Curtain</t>
  </si>
  <si>
    <t xml:space="preserve">9 - Tan woven fabric </t>
  </si>
  <si>
    <t>Room Essentials</t>
  </si>
  <si>
    <t>Dark Tan - Smooth polyester fabric</t>
  </si>
  <si>
    <t>Tan Fabric  - 42in wide- Blackout - New in Package</t>
  </si>
  <si>
    <t>Curtain, Blackout</t>
  </si>
  <si>
    <t>Panel - 42in wide - Grey Stripe</t>
  </si>
  <si>
    <t>Eclipse</t>
  </si>
  <si>
    <t>Disposable Condiment To-go Cup</t>
  </si>
  <si>
    <t>1 package - 60est - aluminum</t>
  </si>
  <si>
    <t>Disposable crab apron</t>
  </si>
  <si>
    <t>est. 200 - Thin plastic single use with picture of crab</t>
  </si>
  <si>
    <t>Disposable Soup Lids</t>
  </si>
  <si>
    <t>2 new boxes - 200 total, Plastic</t>
  </si>
  <si>
    <t>Full New Box - White</t>
  </si>
  <si>
    <t>Disposable To-go pie tins/condiment lids</t>
  </si>
  <si>
    <t>Aluminum</t>
  </si>
  <si>
    <t>Disposable To-go Soup Container</t>
  </si>
  <si>
    <t>7 rolls of lids - 5 rolls of cups - Clear plastic and white</t>
  </si>
  <si>
    <t>Disposable Triangle To-go Container</t>
  </si>
  <si>
    <t>1 package -  50 est.- clear plastic</t>
  </si>
  <si>
    <t>Drapery - Fish Net</t>
  </si>
  <si>
    <t>12x9x4 in box full - tan</t>
  </si>
  <si>
    <t>3 - small wood tripod design</t>
  </si>
  <si>
    <t>Electric Can Opener</t>
  </si>
  <si>
    <t>Stainless Steal - Deshaw House Tag #0194</t>
  </si>
  <si>
    <t>Edlund</t>
  </si>
  <si>
    <t>Fabric Blinds</t>
  </si>
  <si>
    <t>2 - 8ft long cellular blinds - White</t>
  </si>
  <si>
    <t xml:space="preserve">Fabric Scrapes/Table Runners </t>
  </si>
  <si>
    <t>23x13x16 bin full</t>
  </si>
  <si>
    <t>Faux Branches</t>
  </si>
  <si>
    <t>Bouquet of decorative Branches</t>
  </si>
  <si>
    <t>Faux Florals</t>
  </si>
  <si>
    <t xml:space="preserve">Orange/yellow sunflowers(about 12), Sword fern pic, 10 - table top bouquets in metal buckets(primarily roses/daisies), </t>
  </si>
  <si>
    <t>Faux garland</t>
  </si>
  <si>
    <t>2 - 3ft lengths of greenery with white flowers</t>
  </si>
  <si>
    <t>Flip Chart Stands/Easel</t>
  </si>
  <si>
    <t>2 Metal Black, 1 Grey Plastic with 10 pads of flip chart paper</t>
  </si>
  <si>
    <t>Draper</t>
  </si>
  <si>
    <t>OP850</t>
  </si>
  <si>
    <t xml:space="preserve">Flower Pot </t>
  </si>
  <si>
    <t>Birch Bark print on outside - Metal - Round, 5x7in round</t>
  </si>
  <si>
    <t>Flower Pot - Painted Silver</t>
  </si>
  <si>
    <t>13 - Silver Painted, filled with Styrofoam</t>
  </si>
  <si>
    <t>Foil Sheets</t>
  </si>
  <si>
    <t>4 boxes - 2000 sheet total - Sysco brand</t>
  </si>
  <si>
    <t>Fry Pan Set</t>
  </si>
  <si>
    <t xml:space="preserve">Cast Iron - Sm. Med. And Lr. </t>
  </si>
  <si>
    <t>Game - Disk Drop</t>
  </si>
  <si>
    <t>In Box - used - table top size - Labeled "Christmas Fest"</t>
  </si>
  <si>
    <t>Fun Express</t>
  </si>
  <si>
    <t>Glass Bowls</t>
  </si>
  <si>
    <t>1 - Cut glass - Small, 1 - smooth glass with wavy top edge - small</t>
  </si>
  <si>
    <t>Gold Wire Plate Stand</t>
  </si>
  <si>
    <t>Green Apron</t>
  </si>
  <si>
    <t>Green fabric with tie waist</t>
  </si>
  <si>
    <t>Hand Labeler</t>
  </si>
  <si>
    <t>Black Price Tag Dispenser(stickers) with 2 rolls of stickers</t>
  </si>
  <si>
    <t>Avery Dennison</t>
  </si>
  <si>
    <t>Jar - Glass</t>
  </si>
  <si>
    <t>Gallon Jar with Metal lid - Clear Glass</t>
  </si>
  <si>
    <t>Lamp Shade, Small</t>
  </si>
  <si>
    <t>White, New</t>
  </si>
  <si>
    <t>Mainstay</t>
  </si>
  <si>
    <t>Lampshade, small</t>
  </si>
  <si>
    <t>6 - pleated white (from brass lamps in tiny cabins?)</t>
  </si>
  <si>
    <t>Lampshade, Medium</t>
  </si>
  <si>
    <t>4 - tan/white shades</t>
  </si>
  <si>
    <t>Lights, mini</t>
  </si>
  <si>
    <t>9 - Clear/white LED light string with battery pack</t>
  </si>
  <si>
    <t>good?</t>
  </si>
  <si>
    <t>Logo Binders</t>
  </si>
  <si>
    <t>24 - SFLCC Labeled - Black, 1in binders - 1 Holiday Inn binder</t>
  </si>
  <si>
    <t>Macrame Plant hangers</t>
  </si>
  <si>
    <t>White - rope</t>
  </si>
  <si>
    <t>Metal Ring?</t>
  </si>
  <si>
    <t>Galvanized metal with holes</t>
  </si>
  <si>
    <t>Mic Stand</t>
  </si>
  <si>
    <t>Black - for single mic</t>
  </si>
  <si>
    <t>Radio Shack</t>
  </si>
  <si>
    <t>Milk Crates</t>
  </si>
  <si>
    <t>10 - Plastic</t>
  </si>
  <si>
    <t>Mirror, round</t>
  </si>
  <si>
    <t>3 - 14in diameter, no frame</t>
  </si>
  <si>
    <t>Mop Bucket</t>
  </si>
  <si>
    <t>Yellow - Rubbermaid</t>
  </si>
  <si>
    <t>Music Stand</t>
  </si>
  <si>
    <t>Black Metal  - Solid piece</t>
  </si>
  <si>
    <t>Wenger</t>
  </si>
  <si>
    <t>Padded Shipping Envelopes</t>
  </si>
  <si>
    <t>30 small, 20 large</t>
  </si>
  <si>
    <t>Panini maker</t>
  </si>
  <si>
    <t xml:space="preserve">Stainless Steal </t>
  </si>
  <si>
    <t>Waring Commercial</t>
  </si>
  <si>
    <t>WPG250</t>
  </si>
  <si>
    <t>Parsons Chair</t>
  </si>
  <si>
    <t>Grey with colorful floral upholstery - light wood legs (Matching one in Raccoon)</t>
  </si>
  <si>
    <t>Photo of Sun</t>
  </si>
  <si>
    <t>Black Frame  - Red sun with clouds obstructing</t>
  </si>
  <si>
    <t>Place Card Holders</t>
  </si>
  <si>
    <t>3 - wood rounds, 17 black metal spirals</t>
  </si>
  <si>
    <t xml:space="preserve">Place Cards </t>
  </si>
  <si>
    <t>Pack of 50 place markers (gold edge) and pack of paper numbered table signs - gold lettering</t>
  </si>
  <si>
    <t>Placemat, Boxwood</t>
  </si>
  <si>
    <t xml:space="preserve">4 - Round mat of Faux Boxwood leaves </t>
  </si>
  <si>
    <t>Placemats, Cedar</t>
  </si>
  <si>
    <t>51 -Round Faux Cedar Placemat - green with felt bottom</t>
  </si>
  <si>
    <t>Placemats, Eucalyptus</t>
  </si>
  <si>
    <t>4 - Round with Silk Eucalyptus leaves</t>
  </si>
  <si>
    <t>Plate Chargers</t>
  </si>
  <si>
    <t xml:space="preserve">99 - Gold Plastic - </t>
  </si>
  <si>
    <t>Plates, Dinner</t>
  </si>
  <si>
    <t>2 - Brown stoneware</t>
  </si>
  <si>
    <t>Plexi Glass Brochure Holder</t>
  </si>
  <si>
    <t>3, 2 - Table Top with 6 slots for brochures, 1 - 8.5x11 paper/envelope holder - clear plastic</t>
  </si>
  <si>
    <t>Plexi Glass Business Card Holders</t>
  </si>
  <si>
    <t>13 clear plastic</t>
  </si>
  <si>
    <t>Plexi Glass Paper Display Holder</t>
  </si>
  <si>
    <t>44 - Holds Single 8.5x11 sheet - for hanging on wall - clear</t>
  </si>
  <si>
    <t>Nubee</t>
  </si>
  <si>
    <t>Plexi Glass Sign Holder</t>
  </si>
  <si>
    <t>6 - For 10X12 Paper - Clear</t>
  </si>
  <si>
    <t>Plexi Glass Tringle paper holder</t>
  </si>
  <si>
    <t>12 - table top with 3 display sides</t>
  </si>
  <si>
    <t>Plexiglass paper holder</t>
  </si>
  <si>
    <t>8.5x11 - table top display sleeve</t>
  </si>
  <si>
    <t>POS System - All Black</t>
  </si>
  <si>
    <t>Posts, Aluminum</t>
  </si>
  <si>
    <t>Bronze color - Collapsible Posts</t>
  </si>
  <si>
    <t>Pots, Metal</t>
  </si>
  <si>
    <t>2 - 3in metal, whitewashed</t>
  </si>
  <si>
    <t>Price Gun</t>
  </si>
  <si>
    <t>Green with yellow trigger - Plastic with extra box of plastic tags</t>
  </si>
  <si>
    <t>Standard</t>
  </si>
  <si>
    <t>Printer Stand</t>
  </si>
  <si>
    <t>Black/wood table with 2 drawers and glass top</t>
  </si>
  <si>
    <t>Remote - Dog Collar</t>
  </si>
  <si>
    <t>Remote for Dog Shock Collar - no collar</t>
  </si>
  <si>
    <t>Sportdog</t>
  </si>
  <si>
    <t>Rethermailzation Sheets</t>
  </si>
  <si>
    <t xml:space="preserve">1000 (Full New Box) - 3 mi - 8x12in </t>
  </si>
  <si>
    <t>Vac Master</t>
  </si>
  <si>
    <t xml:space="preserve">Retractable Banners </t>
  </si>
  <si>
    <t>3 - In Black cases with Red Zippers, Silver Base/top bar  -  (1 - SFLCC South Falls Waterfall picture) (1 - Wedding/Event Venue Information) (1 - Wedding picture of a newlywed couple)</t>
  </si>
  <si>
    <t>Magnify Displays</t>
  </si>
  <si>
    <t>Salad Bowls</t>
  </si>
  <si>
    <t>1 - X Large Textured Plastic, 1 Large plastic (Broken), 1 medium clear plastic, 3 medium - colored (2 orange, 1 blue)</t>
  </si>
  <si>
    <t>Salt/Pepper Shaker</t>
  </si>
  <si>
    <t>Wire holder with clear glass bulb shape bottles - in tops</t>
  </si>
  <si>
    <t>Screen, projector</t>
  </si>
  <si>
    <t>7ft long, with stand and carrying case - Black Metal</t>
  </si>
  <si>
    <t>Shepard Hooks</t>
  </si>
  <si>
    <t>2 - 3ft with double hook on top - black metal</t>
  </si>
  <si>
    <t>Shepards Hook</t>
  </si>
  <si>
    <t>8 - Collapsible(Threaded sections) - Black metal with plastic stake</t>
  </si>
  <si>
    <t>Adjustable height</t>
  </si>
  <si>
    <t xml:space="preserve">Over shower head design,  2 - Brown wire, 1 - White wire - </t>
  </si>
  <si>
    <t>Sign - No Parking</t>
  </si>
  <si>
    <t>Plastic Cellular Board - White - "No Parking 8am-5pm" - 12x18in</t>
  </si>
  <si>
    <t>Sign - Wood Heart</t>
  </si>
  <si>
    <t>"Sarah and Corey - 2/20/2016"</t>
  </si>
  <si>
    <t>Sign post with Burlap Bulletin Board</t>
  </si>
  <si>
    <t>Bonze/Black Distressed Pedestal - 8.5x11 bulletin board</t>
  </si>
  <si>
    <t>3.5 ft tall</t>
  </si>
  <si>
    <t>Sign, Door hanging</t>
  </si>
  <si>
    <t>"Pet in Room" - full new package, est. 50</t>
  </si>
  <si>
    <t xml:space="preserve"> 2 - No Alcohol Beyond This Point</t>
  </si>
  <si>
    <t>Meal and Snack South Falls lodge branding with Plexi glass holder</t>
  </si>
  <si>
    <t>8 - Stop the Spread/Social Distancing Notice</t>
  </si>
  <si>
    <t>Silver Falls Lodge and Conference Center</t>
  </si>
  <si>
    <t>Single Serve Coffee Makers</t>
  </si>
  <si>
    <t>12 - 2 cup coffeemaker - Black Plastic</t>
  </si>
  <si>
    <t>Cuisinart</t>
  </si>
  <si>
    <t>WCM11</t>
  </si>
  <si>
    <t>Small Trash can with Shampoo Spill</t>
  </si>
  <si>
    <t>Trash can, pitcher, shampoo, conditioner</t>
  </si>
  <si>
    <t>Stack of Bamboo Curtains</t>
  </si>
  <si>
    <t>Already Supposed to be disposed of</t>
  </si>
  <si>
    <t>Tan - Long Rectangle</t>
  </si>
  <si>
    <t>Table Runner, Crochet</t>
  </si>
  <si>
    <t>White Crochet Table Runner</t>
  </si>
  <si>
    <t>Table Runner, Tule</t>
  </si>
  <si>
    <t>9 - ? Tule</t>
  </si>
  <si>
    <t>Tea Light Candle Holder</t>
  </si>
  <si>
    <t>9 - Silver diamond pattern, cylinders</t>
  </si>
  <si>
    <t>Tea Light Candles - LED</t>
  </si>
  <si>
    <t>20 real wax floating, 125 plastic</t>
  </si>
  <si>
    <t>Towel Washing Info Card</t>
  </si>
  <si>
    <t>5 - White Plastic - "Save the Earth - towel on floor means…"</t>
  </si>
  <si>
    <t>Trash Can Lid</t>
  </si>
  <si>
    <t>Swing - Black and Stainless Steal</t>
  </si>
  <si>
    <t>Safco</t>
  </si>
  <si>
    <t>SFLCC - Green/white polo and tee shirts</t>
  </si>
  <si>
    <t>Vase</t>
  </si>
  <si>
    <t>5 in tall cut glass - Has paint splatters</t>
  </si>
  <si>
    <t>12in tapered with poor spout</t>
  </si>
  <si>
    <t>Clear Glass - 9x10in round</t>
  </si>
  <si>
    <t>Vase - bamboo</t>
  </si>
  <si>
    <t>Red Bamboo 18 in vase - taper square</t>
  </si>
  <si>
    <t>Vase - Bouquet</t>
  </si>
  <si>
    <t>Clear Glass Bouquet Vase - 10 in tall</t>
  </si>
  <si>
    <t>Vase - Ceramic</t>
  </si>
  <si>
    <t>White Ceramic with silver cross - 8in tall</t>
  </si>
  <si>
    <t>Vase - Cylinder</t>
  </si>
  <si>
    <t>Clear Glass - round - 12in - slight taper</t>
  </si>
  <si>
    <t>goof</t>
  </si>
  <si>
    <t>Vase - Mason Jar</t>
  </si>
  <si>
    <t>Amber Color with metal rim / handle /tea light candle holder, 5 Pint, 5 Half Pint</t>
  </si>
  <si>
    <t>Vase - Milk Bottle Shape</t>
  </si>
  <si>
    <t xml:space="preserve">3 - 5in tall - Clear Glass </t>
  </si>
  <si>
    <t>Vase - Single Stem</t>
  </si>
  <si>
    <t>12 square, 10 round bulb shape - Clear Glass - 7in tall</t>
  </si>
  <si>
    <t>Vase filler</t>
  </si>
  <si>
    <t>4 pieces - white balls/pinecone</t>
  </si>
  <si>
    <t>Vase, Bouquet</t>
  </si>
  <si>
    <t>5 - 8in tall Clear Glass</t>
  </si>
  <si>
    <t>Vase, Cylinder</t>
  </si>
  <si>
    <t>10in tall - Thick glass with rim around top, clear glass</t>
  </si>
  <si>
    <t>Vase, Hourglass</t>
  </si>
  <si>
    <t>2 - Clear Glass - one larger diameter , both about 8in tall</t>
  </si>
  <si>
    <t>Vase, Mason Jar</t>
  </si>
  <si>
    <t>Vase, mini</t>
  </si>
  <si>
    <t>5 - Assorted Shapes, 2-4in tall with Jute twine wrapped around top, 4 - clear glass,  1 - tan plastic</t>
  </si>
  <si>
    <t>Vase, Square</t>
  </si>
  <si>
    <t>2 - 10 in tall - Clear Glass</t>
  </si>
  <si>
    <t>2 - Clear Glass  - 6in tall</t>
  </si>
  <si>
    <t>Vases - Colorful</t>
  </si>
  <si>
    <t>1 - tall red, 2 - tall green, 7 - mason jar style (Red/green/blue),  2 - blue frosted glass, 1 - green square, 1 light blue, 1 red votive with fall leaves, 1 - small green bottle shaped, 1 - dark brown bottle shaped, 2 small opaque white bottle shaped, 3 - light green small bottle shaped, 1 square amber</t>
  </si>
  <si>
    <t>Wagon</t>
  </si>
  <si>
    <t>Folding fabric - green with black metal frame</t>
  </si>
  <si>
    <t>White Tule</t>
  </si>
  <si>
    <t>2 Sterilite bins full</t>
  </si>
  <si>
    <t>Wreath, Grapevine</t>
  </si>
  <si>
    <t>4 - about 12in, decorated with pinecones and acorns dipped in silver</t>
  </si>
  <si>
    <t>2 - about 12 in, plain</t>
  </si>
  <si>
    <t>Wrist Bands</t>
  </si>
  <si>
    <t>Eclipse - single use wristbands - Gold VIP and Blue</t>
  </si>
  <si>
    <t>CONEX</t>
  </si>
  <si>
    <t>Bin, Heavy Duty - Black and Yellow</t>
  </si>
  <si>
    <t>Green Made Brand 30x20x14</t>
  </si>
  <si>
    <t>Bins, Sterlite</t>
  </si>
  <si>
    <t>Bins, Underbed</t>
  </si>
  <si>
    <t>Blankets - Movie</t>
  </si>
  <si>
    <t>Ceramic Salad Plate</t>
  </si>
  <si>
    <t>TriMark</t>
  </si>
  <si>
    <t>TRI-425R-25</t>
  </si>
  <si>
    <t>Chair back covers</t>
  </si>
  <si>
    <t>Est. 200 - Gold Silk Fabric with Red Sashes</t>
  </si>
  <si>
    <t>Chair Scarves - Navy</t>
  </si>
  <si>
    <t>Chocolate Fountain</t>
  </si>
  <si>
    <t>Chocolate Pro Chocolate Fountain, 3 tiered, plastic</t>
  </si>
  <si>
    <t>Wilton</t>
  </si>
  <si>
    <t>TL-094</t>
  </si>
  <si>
    <t>Christmas Tree Stands</t>
  </si>
  <si>
    <t>Condiment Dispenser</t>
  </si>
  <si>
    <t>3 pumps in Stainless Steel Stand</t>
  </si>
  <si>
    <t>San Jamar</t>
  </si>
  <si>
    <t>Cooker/Warmer</t>
  </si>
  <si>
    <t>Stainless Steal, 11 qt capacity</t>
  </si>
  <si>
    <t>6103A</t>
  </si>
  <si>
    <t>Cooker/Warmer Inserts</t>
  </si>
  <si>
    <t>Counter top Deep fryer</t>
  </si>
  <si>
    <t>2 chamber</t>
  </si>
  <si>
    <t>Globe</t>
  </si>
  <si>
    <t>PF32E</t>
  </si>
  <si>
    <t>Dinner Plate</t>
  </si>
  <si>
    <t>World</t>
  </si>
  <si>
    <t>Filing Cabinets</t>
  </si>
  <si>
    <t>2 - 3 drawer, 1 - 2 drawer metal</t>
  </si>
  <si>
    <t>Flatware</t>
  </si>
  <si>
    <t>Flatware - Knives and Forks</t>
  </si>
  <si>
    <t>Floor Lamp</t>
  </si>
  <si>
    <t>1 bulb, black with white shade</t>
  </si>
  <si>
    <t>Hampton Bay</t>
  </si>
  <si>
    <t>398-505</t>
  </si>
  <si>
    <t>Folding table- 3 ft</t>
  </si>
  <si>
    <t>Lifetime</t>
  </si>
  <si>
    <t>Hooks, Over door</t>
  </si>
  <si>
    <t>White wire with 4 hooks</t>
  </si>
  <si>
    <t>Hot Beverage Transport Container</t>
  </si>
  <si>
    <t xml:space="preserve">Brown Plastic </t>
  </si>
  <si>
    <t>Insulated Food Carrier</t>
  </si>
  <si>
    <t>Cambro/Rubbermaid</t>
  </si>
  <si>
    <t>Lamp, Table</t>
  </si>
  <si>
    <t>Bronze metal base with three curled legs</t>
  </si>
  <si>
    <t>Metal Water Pitcher</t>
  </si>
  <si>
    <t>American Metal Craft</t>
  </si>
  <si>
    <t>Mugs</t>
  </si>
  <si>
    <t>Shelving - 5 Shelf</t>
  </si>
  <si>
    <t>Vases/Candleholders - Cylindrical set</t>
  </si>
  <si>
    <t>Water Goblet</t>
  </si>
  <si>
    <t>F. Korbel and Bros, INC</t>
  </si>
  <si>
    <t>Wire Shelving - 5 Shelf</t>
  </si>
  <si>
    <t>6ft tall x 5ft wide - Black</t>
  </si>
  <si>
    <t>Wire Shelving - 6 shelf</t>
  </si>
  <si>
    <t>Wire Shelving Unit - Decorative</t>
  </si>
  <si>
    <t>Black/Bronze color with 5 decorative shelves</t>
  </si>
  <si>
    <t>5 Tall</t>
  </si>
  <si>
    <t>CONEX - Holiday</t>
  </si>
  <si>
    <t>Valentines</t>
  </si>
  <si>
    <t>Easter</t>
  </si>
  <si>
    <t>6  - Tan Burlap baskets - "Lavandula" with bee design</t>
  </si>
  <si>
    <t>Wreath - 12in made of speckled eggs</t>
  </si>
  <si>
    <t>Baskets, moss covered with 2 carrots tied on handle</t>
  </si>
  <si>
    <t>Wreaths - Ferns/greens with burlap bow - 2</t>
  </si>
  <si>
    <t>Bunnies - foam, white - 8 (6 in long)</t>
  </si>
  <si>
    <t>Bird Nest with 3 eggs - 6 - about 4in round</t>
  </si>
  <si>
    <t>Eggs - 200+ speckled eggs - loose</t>
  </si>
  <si>
    <t>Bunnies - Moss covered - 4 (6in long)</t>
  </si>
  <si>
    <t>wood trays - light blue - 3inx3in - wood (about 11)</t>
  </si>
  <si>
    <t>Banner "Happy Easter" on bunt flags</t>
  </si>
  <si>
    <t>grapevine garland</t>
  </si>
  <si>
    <t>Baskets - 2 mini - whicker</t>
  </si>
  <si>
    <t>4th of July</t>
  </si>
  <si>
    <t>22 - Half Fan - Red White and Blue Banners - 20in long</t>
  </si>
  <si>
    <t>6 - R+W+B Table Runners - long - silk</t>
  </si>
  <si>
    <t>3 - large R+W+B striped bows</t>
  </si>
  <si>
    <t>2 - pompom tissue paper garland - R+W+B</t>
  </si>
  <si>
    <t>Sign, Star shaped R+W+B - Mylar</t>
  </si>
  <si>
    <t>Stack of Disposable Top Hats - White with stars and stripes</t>
  </si>
  <si>
    <t>23 - Mini American Flags on sticks</t>
  </si>
  <si>
    <t>5 - Midsize American Flags on Sticks</t>
  </si>
  <si>
    <t>18 - Table Top Ballon Weights - Red Mylar</t>
  </si>
  <si>
    <t>3 - Chalkboard Arrow Signs</t>
  </si>
  <si>
    <t>Roll of White Tule (8 in wide)</t>
  </si>
  <si>
    <t>Christmas fest Fishing game board</t>
  </si>
  <si>
    <t>4 outdoor wood candy cane lawn décor - 2 ft tall</t>
  </si>
  <si>
    <t>6 poinsettia placemats</t>
  </si>
  <si>
    <t>4 mini Santa stocking</t>
  </si>
  <si>
    <t>Bag of Bows</t>
  </si>
  <si>
    <t>2 Buffalo Check pattern (Red and Black) rect. Table cloths</t>
  </si>
  <si>
    <t>2 rolls wire edge ribbon - red/tan stripe</t>
  </si>
  <si>
    <t>50+ faux poinsettia blooms</t>
  </si>
  <si>
    <t>Sled Sign - Wood, says "Merry Christmas</t>
  </si>
  <si>
    <t>2 Throw Pillows - 1 "Holly Jolly", 1 "Noel"</t>
  </si>
  <si>
    <t>Santa holding tree - 12 in tall figure</t>
  </si>
  <si>
    <t>2 metal buckets - buffalo check oval and solid red round</t>
  </si>
  <si>
    <t>2 - 2ft lengths of pine cone garland</t>
  </si>
  <si>
    <t>Lights - 2 strand, 100 lights each</t>
  </si>
  <si>
    <t>4 - Door hanging - faux pine/evergreen branches with bow</t>
  </si>
  <si>
    <t>7 - mini black lanterns - plastic</t>
  </si>
  <si>
    <t>50 plastic candy canes</t>
  </si>
  <si>
    <t>10 pine cones</t>
  </si>
  <si>
    <t>100 plastic snowflake ornaments</t>
  </si>
  <si>
    <t>4 gold icicle ornaments</t>
  </si>
  <si>
    <t>Red metal bucket</t>
  </si>
  <si>
    <t>Short lengths of wire ribbon</t>
  </si>
  <si>
    <t xml:space="preserve"> 2 mini Christmas trees</t>
  </si>
  <si>
    <t>2 table top center pieces in Buffalo Check Bucket</t>
  </si>
  <si>
    <t>5 pine floral pics - large</t>
  </si>
  <si>
    <t>2 gold butterfly pics</t>
  </si>
  <si>
    <t>Wood Snowman Sign</t>
  </si>
  <si>
    <t>light strand  - around 100 white lights</t>
  </si>
  <si>
    <t>5 over door wreath hooks</t>
  </si>
  <si>
    <t>Wreath - Mixed green, large- good quality</t>
  </si>
  <si>
    <t>Mini Red and Green balls - Shoebox full</t>
  </si>
  <si>
    <t>Wreath with deer head - large, good quality</t>
  </si>
  <si>
    <t>3ft Faux Tree</t>
  </si>
  <si>
    <t>Wood Trees - 2 - 1.5ft tall painted green</t>
  </si>
  <si>
    <t>Pale - Galvanized metal</t>
  </si>
  <si>
    <t>silver apple floral pic</t>
  </si>
  <si>
    <t>Garland - faux evergreen, 5 strands</t>
  </si>
  <si>
    <t>Christmas fest Reindeer clothes pin craft - box full</t>
  </si>
  <si>
    <t>Letter to Santa Mailbox</t>
  </si>
  <si>
    <t>Table top tree</t>
  </si>
  <si>
    <t>Evergreen Pics - 2</t>
  </si>
  <si>
    <t>wreath hangers - over the door - 5</t>
  </si>
  <si>
    <t>wreath - 2 - mid quality</t>
  </si>
  <si>
    <t xml:space="preserve">Fall </t>
  </si>
  <si>
    <t>Fall Floral Pics in Basket</t>
  </si>
  <si>
    <t>Tule/Burlap/gauze draping - falls colors/themes - Bin Full</t>
  </si>
  <si>
    <t>tea lights LED -2 - Silver/bronze glass holder</t>
  </si>
  <si>
    <t>Light String - Fall Colors - about 25 lights</t>
  </si>
  <si>
    <t>Serving Board - Round Wood</t>
  </si>
  <si>
    <t>Hawaii/Tropical</t>
  </si>
  <si>
    <t>Table Cloths - Disposable Plastic - Hawaii themed - 3</t>
  </si>
  <si>
    <t>Pink Flamingo Lawn Décor, plastic - 2</t>
  </si>
  <si>
    <t>New Years</t>
  </si>
  <si>
    <t>Party Hats / Headbands/Lays - Disposable/single use quality</t>
  </si>
  <si>
    <t>Plastic Lays</t>
  </si>
  <si>
    <t>Mylar Curtains/Banners</t>
  </si>
  <si>
    <t>Christmas</t>
  </si>
  <si>
    <t>Faux Tree</t>
  </si>
  <si>
    <t>5ft tall, slim evergreen with lights</t>
  </si>
  <si>
    <t>2 sided shelf</t>
  </si>
  <si>
    <t>Wood - Tapered at bottom - 55x60 - 5 shelves - poor condition</t>
  </si>
  <si>
    <t>4ft Ladder</t>
  </si>
  <si>
    <t>Aluminum - Bent/broken</t>
  </si>
  <si>
    <t>Ash bins- metal pail</t>
  </si>
  <si>
    <t>2 bins and 4 lids - galvanized</t>
  </si>
  <si>
    <t>Ash tray- outdoor</t>
  </si>
  <si>
    <t>1 - Plastic pedestal near fire pits</t>
  </si>
  <si>
    <t>Bathroom paneling</t>
  </si>
  <si>
    <t>4 sheets - plastic white paneling for bathroom/shower walls</t>
  </si>
  <si>
    <t>Bean Bag Filler</t>
  </si>
  <si>
    <t>Styrofoam Beads</t>
  </si>
  <si>
    <t>Trash - Molded and Falling Apart</t>
  </si>
  <si>
    <t>Cedar Siding</t>
  </si>
  <si>
    <t>4ft x 2ft pile</t>
  </si>
  <si>
    <t>Chairs</t>
  </si>
  <si>
    <t>2 upholstered plastic</t>
  </si>
  <si>
    <t>Doors</t>
  </si>
  <si>
    <t xml:space="preserve">1 Exterior painted Brown - 1 with door casing </t>
  </si>
  <si>
    <t>Garden Soil</t>
  </si>
  <si>
    <t>Open Bag</t>
  </si>
  <si>
    <t>Hand Sanitizer Stand</t>
  </si>
  <si>
    <t xml:space="preserve">Wood Stand with Purell Dispenser </t>
  </si>
  <si>
    <t>Hook System Boards</t>
  </si>
  <si>
    <t>System in Res. Booth - 2ft x 8ft sheets - MDF</t>
  </si>
  <si>
    <t>poor(mold)</t>
  </si>
  <si>
    <t>Horse Shoe Set</t>
  </si>
  <si>
    <t>3 - red/blue, white/green, black case</t>
  </si>
  <si>
    <t>7 Plastic - Assorted colors</t>
  </si>
  <si>
    <t>Plexi Glass in Wood Frame</t>
  </si>
  <si>
    <t>34 x 64</t>
  </si>
  <si>
    <t>Plywood</t>
  </si>
  <si>
    <t>5 Sheets - 1/2" thick, 2 sheets 1/4" with decorative wood paneling</t>
  </si>
  <si>
    <t>Shepard hooks</t>
  </si>
  <si>
    <t>18 - Black Metal</t>
  </si>
  <si>
    <t>Temporary Signs</t>
  </si>
  <si>
    <t>Laminated paper sheet on wood post - 6 camp fire prohibited</t>
  </si>
  <si>
    <t>Tiki Torches</t>
  </si>
  <si>
    <t>6 -</t>
  </si>
  <si>
    <t>Trash</t>
  </si>
  <si>
    <t>Piece of Tarp and Wood Scraps</t>
  </si>
  <si>
    <t>Turf builder</t>
  </si>
  <si>
    <t>3 New Bags - Scott Brand</t>
  </si>
  <si>
    <t>Window Screens</t>
  </si>
  <si>
    <t>20 metal framed - assorted sizes - 8 Wood framed, very poor condition (From ycamp cabins?)</t>
  </si>
  <si>
    <t>Wire fencing</t>
  </si>
  <si>
    <t>5ft wide roll - Sheep/livestock paneling style</t>
  </si>
  <si>
    <t>Down Spouts</t>
  </si>
  <si>
    <t>2 - 5ft , Brown</t>
  </si>
  <si>
    <t>Metal Grate</t>
  </si>
  <si>
    <t>Brown - 10ft long, Mesh/wire with metal frame</t>
  </si>
  <si>
    <t>Anchors</t>
  </si>
  <si>
    <t>Assorted Pots</t>
  </si>
  <si>
    <t>11 terracotta + bases  - 1 decorative metal - 19 decorative Plastic - 18 compostable hanging baskets - Many Black plastic Pots(Trash)</t>
  </si>
  <si>
    <t>poor-good</t>
  </si>
  <si>
    <t>Auto Shelter 1015</t>
  </si>
  <si>
    <t>In box  - Shelter logic ( 10x15x8)</t>
  </si>
  <si>
    <t xml:space="preserve">Small household size </t>
  </si>
  <si>
    <t>Candy Cane Stripe Pole</t>
  </si>
  <si>
    <t>2 - 6ft tall with white 2x4 for base</t>
  </si>
  <si>
    <t>Christmas Tree Stand</t>
  </si>
  <si>
    <t>Green 21in Diameter</t>
  </si>
  <si>
    <t>Decorative  Landscaping Rock</t>
  </si>
  <si>
    <t>"pea pebble" - 1.5 bags - small rock</t>
  </si>
  <si>
    <t>Fertilizer spreader</t>
  </si>
  <si>
    <t>Black - Hooks up to small atv/lawnmower - Brinly Hardy brand - Model:BS26BH</t>
  </si>
  <si>
    <t>Folding Tables</t>
  </si>
  <si>
    <t>2 - 8ft, Dark wood top with Metal Legs</t>
  </si>
  <si>
    <t>Garden Hose</t>
  </si>
  <si>
    <t>Long and Short(6ft) green hose</t>
  </si>
  <si>
    <t>RCA - 2019 - RFR320 - Black with freezer inside(replaced by new fridge in Raccoon 27?)</t>
  </si>
  <si>
    <t>Snow shovel</t>
  </si>
  <si>
    <t>Table Tennis Set</t>
  </si>
  <si>
    <t>Net, paddles, 12 Balls - New in Packaging</t>
  </si>
  <si>
    <t>5 ft - Black - Kenyon Tools Brand</t>
  </si>
  <si>
    <t>Pipe, PVC</t>
  </si>
  <si>
    <t xml:space="preserve">Candy Cane Striped - 10 ft.  - 1 in. </t>
  </si>
  <si>
    <t>Assorted - 1.5 to 3in - 7 pipes</t>
  </si>
  <si>
    <t>Fence Posts</t>
  </si>
  <si>
    <t>Wood Posts</t>
  </si>
  <si>
    <t>2 - 6 in Round (1 6ft, 1 8ft)</t>
  </si>
  <si>
    <t>Storage Shed 1</t>
  </si>
  <si>
    <t>Park Maps</t>
  </si>
  <si>
    <t>Park Sign</t>
  </si>
  <si>
    <t>Wood - "Office and Gift Shop" - Dark Lettering</t>
  </si>
  <si>
    <t>Wood -Arrow to "Registration" - Lettering Painted White</t>
  </si>
  <si>
    <t>Wood -"Registration Booth" - Lettering Painted White</t>
  </si>
  <si>
    <t>Wood -"Lower Parking Area" - Lettering Painted White</t>
  </si>
  <si>
    <t xml:space="preserve"> Wood - to "Dining Hall/Meeting Hall/ Recreation Area"- Dark Lettering</t>
  </si>
  <si>
    <t>Wood -Arrow to "Lower Paring Area/ Raccoon Cabin" - Dark Lettering</t>
  </si>
  <si>
    <t>Wood -Arrow to "Office /Dining Hall /Meeting Hall" - Dark Lettering</t>
  </si>
  <si>
    <t>Sign</t>
  </si>
  <si>
    <t>Wood - Event/Sales Office 6 in x 12 in</t>
  </si>
  <si>
    <t>Fire Danger - wood frame - 1ft x 1.5 ft</t>
  </si>
  <si>
    <t>Sign Posts</t>
  </si>
  <si>
    <t>Storage Shed 2</t>
  </si>
  <si>
    <t>A frame signs</t>
  </si>
  <si>
    <t>3 White Plastic - 1 Brown Wood</t>
  </si>
  <si>
    <t>Umbrella- mix color</t>
  </si>
  <si>
    <t>11 - 5 Red, 5 Striped, 1 Blue</t>
  </si>
  <si>
    <t>Umbrella- base</t>
  </si>
  <si>
    <t>4 - Plastic, Fill with Water</t>
  </si>
  <si>
    <t>Bike Trailer</t>
  </si>
  <si>
    <t>Grey Fabric basket with 2 wheels and hitch</t>
  </si>
  <si>
    <t>Sewer Pipe</t>
  </si>
  <si>
    <t>2 - 2in - 12ft pieces</t>
  </si>
  <si>
    <t>Metal Flashing</t>
  </si>
  <si>
    <t>Many sheets - White or Galvanized - 10 ft lengths</t>
  </si>
  <si>
    <t>Black Leveling Scissor Jack</t>
  </si>
  <si>
    <t>Table- 6 ft</t>
  </si>
  <si>
    <t>11 - Dark Wood Top with metal Legs</t>
  </si>
  <si>
    <t>Light Posts</t>
  </si>
  <si>
    <t>Brown Wood 4x4 with light mounted on side</t>
  </si>
  <si>
    <t>Bikes- mix</t>
  </si>
  <si>
    <t>4 Bikes and 4 extra wheels (1 bike has no wheels)</t>
  </si>
  <si>
    <t>Hyper, Diamond Back</t>
  </si>
  <si>
    <t>Lawn sweep</t>
  </si>
  <si>
    <t xml:space="preserve"> Black/Grey tow behind </t>
  </si>
  <si>
    <t>Curtain- Bamboo</t>
  </si>
  <si>
    <t>Food Carrier Warmer</t>
  </si>
  <si>
    <t>Brown Insulated Box - Plastic</t>
  </si>
  <si>
    <t>Dance Floor</t>
  </si>
  <si>
    <t>8 base panels - 25 snap together top panels</t>
  </si>
  <si>
    <t>Rolling Chair Rack</t>
  </si>
  <si>
    <t>Brown Metal</t>
  </si>
  <si>
    <t>Large White outdoor tent top and walls</t>
  </si>
  <si>
    <t>Twin bed Frame</t>
  </si>
  <si>
    <t>Wire Rack/Folding Bed?</t>
  </si>
  <si>
    <t>Bathhouse</t>
  </si>
  <si>
    <t>Wood Top with metal legs</t>
  </si>
  <si>
    <t>5 32 gal. 1 slim jim, I smaller round, 1 smaller rectangle</t>
  </si>
  <si>
    <t>5 - 3 32in, 2 46 in - new in package</t>
  </si>
  <si>
    <t>11 - Black Straps with Chrome Legs</t>
  </si>
  <si>
    <t>Chrome - Wall mounted</t>
  </si>
  <si>
    <t>Curtain rod</t>
  </si>
  <si>
    <t>6 - white metal in packaging</t>
  </si>
  <si>
    <t>Light fixture</t>
  </si>
  <si>
    <t>7 - Murray Feiss - Half dome light - 2004 ,  2 - Kira Home - Brass Side Lamp Sconce for Wall</t>
  </si>
  <si>
    <t>Propane heaters</t>
  </si>
  <si>
    <t xml:space="preserve">2 - SS </t>
  </si>
  <si>
    <t>Baking Sheet Rack</t>
  </si>
  <si>
    <t>Rolling, Aluminum, Winholt Brand</t>
  </si>
  <si>
    <t>Outdoor Chair</t>
  </si>
  <si>
    <t>Brown Plastic - Bar height</t>
  </si>
  <si>
    <t>Purple Chairs</t>
  </si>
  <si>
    <t>Upholstered - Black Metal Frame</t>
  </si>
  <si>
    <t>8 Cube Shelf</t>
  </si>
  <si>
    <t>Black- From Admin Office?</t>
  </si>
  <si>
    <t>Storage Bin - Drawers</t>
  </si>
  <si>
    <t>Plastic sterilite with 3 drawers - Black with grey handles</t>
  </si>
  <si>
    <t>Can Light Fixtures</t>
  </si>
  <si>
    <t>Used - Fixture and Florescent bulbs</t>
  </si>
  <si>
    <t>Paint/Finish</t>
  </si>
  <si>
    <t>5 - 1 gal cans, 8 5 gal cans</t>
  </si>
  <si>
    <t>Batteries</t>
  </si>
  <si>
    <t>5 car sized - 1 smaller</t>
  </si>
  <si>
    <t>Old or New?</t>
  </si>
  <si>
    <t xml:space="preserve">In Ground Sprinklers  </t>
  </si>
  <si>
    <t>5 - with fittings</t>
  </si>
  <si>
    <t>Shade Tarps</t>
  </si>
  <si>
    <t>6 - green mesh - large size privacy/shade tarps</t>
  </si>
  <si>
    <t>6 - 6ft dark wood top with metal legs</t>
  </si>
  <si>
    <t>Camelot West</t>
  </si>
  <si>
    <t>21 Photos - Black 8x11 frames</t>
  </si>
  <si>
    <t>Plastic Bracelets</t>
  </si>
  <si>
    <t>Whole Box - New</t>
  </si>
  <si>
    <t>Blue/White Lights</t>
  </si>
  <si>
    <t>1 strand</t>
  </si>
  <si>
    <t>Condiment/food dispenser parts</t>
  </si>
  <si>
    <t>Igloo Cooler Latches</t>
  </si>
  <si>
    <t>Box full of new latches</t>
  </si>
  <si>
    <t>Folding Beach Chairs</t>
  </si>
  <si>
    <t>2 - purple/blue plastic</t>
  </si>
  <si>
    <t>Office Chair(top portion no wheels)</t>
  </si>
  <si>
    <t>Chair Cushions</t>
  </si>
  <si>
    <t>3 white, 2 purple</t>
  </si>
  <si>
    <t>Lawn Game - Corn Toss</t>
  </si>
  <si>
    <t>2 matching plastic white boards with whole</t>
  </si>
  <si>
    <t>Corn Toss</t>
  </si>
  <si>
    <t>Outdoor Storage Chest</t>
  </si>
  <si>
    <t>Dark Brown, Contents: 15 Assorted Sports Balls, Badminton rackets, Painted giant Jenga set(Red)</t>
  </si>
  <si>
    <t>5x2x2.5</t>
  </si>
  <si>
    <t>Tan Plastic Pedestal - 1 near shop</t>
  </si>
  <si>
    <t>Door Mats - 2 Black</t>
  </si>
  <si>
    <t xml:space="preserve">Tan Square with lid, </t>
  </si>
  <si>
    <t>Ash Bins</t>
  </si>
  <si>
    <t>4 - Metal round aluminum cans - 3 large, 1 small</t>
  </si>
  <si>
    <t>Fire Wood Cart</t>
  </si>
  <si>
    <t>Green Plastic with OPRD symbol - Broken</t>
  </si>
  <si>
    <t>No Longer works - Trash</t>
  </si>
  <si>
    <t>Wagons</t>
  </si>
  <si>
    <t>Green paint - wire mesh siding with black handle</t>
  </si>
  <si>
    <t>Pool cover roll</t>
  </si>
  <si>
    <t>Saw Horses</t>
  </si>
  <si>
    <t xml:space="preserve">Wood - fair </t>
  </si>
  <si>
    <t>Wood Palate</t>
  </si>
  <si>
    <t>XL from Parr Lumber - trash</t>
  </si>
  <si>
    <t>Ladder</t>
  </si>
  <si>
    <t>Piece of extension ladder with wood fixture mounted to top - Trash?</t>
  </si>
  <si>
    <t>Metal Roofing/siding</t>
  </si>
  <si>
    <t>4 sheet aluminum, 2 sheet plexiglass</t>
  </si>
  <si>
    <t>Lattice</t>
  </si>
  <si>
    <t>4x8 sheets</t>
  </si>
  <si>
    <t>Wood Lamp Post</t>
  </si>
  <si>
    <t>Toilet Bowl</t>
  </si>
  <si>
    <t xml:space="preserve">Pool Fencing </t>
  </si>
  <si>
    <t>Black fence posts and chain-link sheets</t>
  </si>
  <si>
    <t>Ping-Pong Table</t>
  </si>
  <si>
    <t>2 - 1 in Pool house, 1 in pump house - Trash</t>
  </si>
  <si>
    <t>Stamping Machine</t>
  </si>
  <si>
    <t xml:space="preserve"> Vintage Hot Stamping Machine Signet Embosser</t>
  </si>
  <si>
    <t>Franklin Mfg. Corp.</t>
  </si>
  <si>
    <t>Wood - with 2 shelves - 3 sided</t>
  </si>
  <si>
    <t>Push Broom</t>
  </si>
  <si>
    <t>30ft. Long extension handle for pool - Blue  Handle</t>
  </si>
  <si>
    <t>Small Black</t>
  </si>
  <si>
    <t xml:space="preserve"> Rescue Board</t>
  </si>
  <si>
    <t>White Plastic - Spinal Board for use with Pools - Trash</t>
  </si>
  <si>
    <t>Rolling Cart</t>
  </si>
  <si>
    <t>2 shelf - metal, very poor condition</t>
  </si>
  <si>
    <t>Tarp</t>
  </si>
  <si>
    <t>Blue Plastic - unknown size</t>
  </si>
  <si>
    <t>Outdoor</t>
  </si>
  <si>
    <t>Pool House</t>
  </si>
  <si>
    <t>Bistro Table</t>
  </si>
  <si>
    <t>Round Metal Crosshatch pattern - Matches others from tiny cabins</t>
  </si>
  <si>
    <t>Benches</t>
  </si>
  <si>
    <t>Bench</t>
  </si>
  <si>
    <t>wood painted Red with Armrest</t>
  </si>
  <si>
    <t>Barrels</t>
  </si>
  <si>
    <t>1/2 Barrels</t>
  </si>
  <si>
    <t>Bike Rack</t>
  </si>
  <si>
    <t xml:space="preserve">Wood Frame with Metal Bars </t>
  </si>
  <si>
    <t>7ft</t>
  </si>
  <si>
    <t>Event Chairs</t>
  </si>
  <si>
    <t>Chair Racks</t>
  </si>
  <si>
    <t>ABC Amerex</t>
  </si>
  <si>
    <t>Memorial - in Ground "Dallas and Pauline Beebe"</t>
  </si>
  <si>
    <t>Pool house meadow - Wood with tiered arbor archway behind stage</t>
  </si>
  <si>
    <t>Signposts with signs</t>
  </si>
  <si>
    <t>Trail marker(wood with footprint sign), 2 Handicap Parking Signs, 1 metal "SHRW sign, Sign holder on post with roofing overtop</t>
  </si>
  <si>
    <t xml:space="preserve">Radio &amp; charger </t>
  </si>
  <si>
    <t xml:space="preserve">Concrete picnic table </t>
  </si>
  <si>
    <t xml:space="preserve">Key system </t>
  </si>
  <si>
    <t xml:space="preserve">Security System  </t>
  </si>
  <si>
    <t xml:space="preserve">A frame stand </t>
  </si>
  <si>
    <t xml:space="preserve">Walk in Fridge </t>
  </si>
  <si>
    <t xml:space="preserve">Picnic table </t>
  </si>
  <si>
    <t xml:space="preserve">Toilet &amp; urinal </t>
  </si>
  <si>
    <t xml:space="preserve">Firepit </t>
  </si>
  <si>
    <t xml:space="preserve">Exhaust Hood </t>
  </si>
  <si>
    <t xml:space="preserve">Hood with suppression system </t>
  </si>
  <si>
    <t xml:space="preserve">Walk in Refrigerator/Freezer </t>
  </si>
  <si>
    <t xml:space="preserve">Sink- porcelain  </t>
  </si>
  <si>
    <t xml:space="preserve">Toilet  </t>
  </si>
  <si>
    <t xml:space="preserve">Wood Stove  </t>
  </si>
  <si>
    <t xml:space="preserve">Sink  </t>
  </si>
  <si>
    <t xml:space="preserve">Water Heater(for bathrooms)  </t>
  </si>
  <si>
    <t xml:space="preserve">Exhaust fan  </t>
  </si>
  <si>
    <t xml:space="preserve">Sink cabinet  </t>
  </si>
  <si>
    <t xml:space="preserve">Tankless water heater  </t>
  </si>
  <si>
    <t xml:space="preserve">Heater </t>
  </si>
  <si>
    <t xml:space="preserve">Water heater- shared  </t>
  </si>
  <si>
    <t xml:space="preserve">Desk attached  </t>
  </si>
  <si>
    <t xml:space="preserve">Cadet wall heaters  </t>
  </si>
  <si>
    <t xml:space="preserve">Sink cabinet </t>
  </si>
  <si>
    <t xml:space="preserve">Exhaust fan </t>
  </si>
  <si>
    <t xml:space="preserve">Cadet wall heaters </t>
  </si>
  <si>
    <t xml:space="preserve">Woodstove </t>
  </si>
  <si>
    <t xml:space="preserve">Mirror Above sink </t>
  </si>
  <si>
    <t xml:space="preserve">Furnace  </t>
  </si>
  <si>
    <t xml:space="preserve">Water Heater  </t>
  </si>
  <si>
    <t xml:space="preserve">Central Vac System  </t>
  </si>
  <si>
    <t xml:space="preserve">Wood Bin  </t>
  </si>
  <si>
    <t xml:space="preserve">Towel Bar  </t>
  </si>
  <si>
    <t xml:space="preserve"> Coat Rack </t>
  </si>
  <si>
    <t xml:space="preserve">Desk- wood  </t>
  </si>
  <si>
    <t xml:space="preserve">Projector screen  </t>
  </si>
  <si>
    <t xml:space="preserve">Sink- stainless </t>
  </si>
  <si>
    <t xml:space="preserve">Outdoor Picnic Tables </t>
  </si>
  <si>
    <t xml:space="preserve">Indoor Fire ring  </t>
  </si>
  <si>
    <t xml:space="preserve">Table &amp; Bench- custom   </t>
  </si>
  <si>
    <t xml:space="preserve">Ventilation system  </t>
  </si>
  <si>
    <t xml:space="preserve">Fire ring  </t>
  </si>
  <si>
    <t xml:space="preserve">Fire Alarm system </t>
  </si>
  <si>
    <t xml:space="preserve">Cadet Heater </t>
  </si>
  <si>
    <t xml:space="preserve">Outdoor Picnic Tables  </t>
  </si>
  <si>
    <t xml:space="preserve">Concrete Picnic Tables  </t>
  </si>
  <si>
    <t xml:space="preserve">Ventilation system </t>
  </si>
  <si>
    <t xml:space="preserve">Bulletin Board </t>
  </si>
  <si>
    <t xml:space="preserve">Toilet &amp; Urinal </t>
  </si>
  <si>
    <t xml:space="preserve">Sinks </t>
  </si>
  <si>
    <t xml:space="preserve">SS Counter top with 3 Basin Sink  </t>
  </si>
  <si>
    <t xml:space="preserve">Propane Tank </t>
  </si>
  <si>
    <t xml:space="preserve">Water heater  </t>
  </si>
  <si>
    <t xml:space="preserve">Utility sink </t>
  </si>
  <si>
    <t xml:space="preserve">Eye wash station </t>
  </si>
  <si>
    <t xml:space="preserve">Bench  </t>
  </si>
  <si>
    <t xml:space="preserve">Picnic Tables  </t>
  </si>
  <si>
    <t xml:space="preserve">Ceremony Stage </t>
  </si>
  <si>
    <t xml:space="preserve">Light posts  </t>
  </si>
  <si>
    <t xml:space="preserve">Desk  </t>
  </si>
  <si>
    <t xml:space="preserve">Towel rack  </t>
  </si>
  <si>
    <t xml:space="preserve">Built in bar height counter  </t>
  </si>
  <si>
    <t xml:space="preserve">Valve Key (Operating Wrench)  </t>
  </si>
  <si>
    <t xml:space="preserve">Out door fire ring  </t>
  </si>
  <si>
    <t>Machinery and Equipment</t>
  </si>
  <si>
    <t>Kitchen Equipment</t>
  </si>
  <si>
    <t>Office Equipment</t>
  </si>
  <si>
    <t xml:space="preserve"> 3 step, Black Plastic - Folding</t>
  </si>
  <si>
    <t xml:space="preserve">Step Ladder </t>
  </si>
  <si>
    <t xml:space="preserve">Glass Mixing Bowls </t>
  </si>
  <si>
    <t xml:space="preserve"> Scrapping Spatulas - 4 large  silicon with red handle, Wood Spoon - Small, Gossamar Gear Brand, Vegetable Peeler - Cuisinart Brand, Black Handle, Plastic white stirring spoon, Strawberry Huller - Black Handle, Orange Juicer(Orange Plastic)</t>
  </si>
  <si>
    <t>Turners(Spatulas) - 2 White Handle Dexter Brand (1 perforated, 2 solid) - 1 Fish Spatula Black Handle - 1 perforated wood handle - 1 Wood handle spreading spatula, 3 Bench Knifes/Scrapers (Wood Handle), 1 white plastic spoon(wooden spoon shape), 1 egg slicer metal - 2 tomato corer/melon baller(mini spoon with serrated edge)</t>
  </si>
  <si>
    <t>Drawer of Tools 1:</t>
  </si>
  <si>
    <t xml:space="preserve">Drawer of Tools 2:  </t>
  </si>
  <si>
    <t xml:space="preserve"> Fast Food baskets</t>
  </si>
  <si>
    <t xml:space="preserve"> 2 sets, in metal rack with pouring lids</t>
  </si>
  <si>
    <t xml:space="preserve">Vinegar/oil serving bottles </t>
  </si>
  <si>
    <t>Round Baking Dish</t>
  </si>
  <si>
    <t>Baking Dish</t>
  </si>
  <si>
    <t>Cake Decorating Stands</t>
  </si>
  <si>
    <t xml:space="preserve"> Yellow ceramic - rectangle</t>
  </si>
  <si>
    <t>Metal wire basket</t>
  </si>
  <si>
    <t>Chinois(Conical Sieve)</t>
  </si>
  <si>
    <t>Flat Tongs</t>
  </si>
  <si>
    <t>Buffet Serving Utensils Set</t>
  </si>
  <si>
    <t>Ladles</t>
  </si>
  <si>
    <t>Disher/ Ice Cream Scoop</t>
  </si>
  <si>
    <t>Wok Tools Set</t>
  </si>
  <si>
    <t>Spoon</t>
  </si>
  <si>
    <t>Ice Scoop</t>
  </si>
  <si>
    <t>Nutcrackers</t>
  </si>
  <si>
    <t>Condiment dispenser lid</t>
  </si>
  <si>
    <t>Cheese Grater</t>
  </si>
  <si>
    <t>Stainless Steel Bucket with Handles</t>
  </si>
  <si>
    <t>Measuring Cup</t>
  </si>
  <si>
    <t>Funnel</t>
  </si>
  <si>
    <t>Storage Containers</t>
  </si>
  <si>
    <t>Wire Racks</t>
  </si>
  <si>
    <t>Dishwashing Tools/Bins</t>
  </si>
  <si>
    <t>15 Black Plastic Dishwashing Basins (Bus Tub), 4 Sanitizing Buckets(Red with handle) Ecolab Brand, 7 Silverware cups - Round Perforated Stainless Steal , 2 black plastic cutlery box (flatware bin)</t>
  </si>
  <si>
    <t>Serving Tray</t>
  </si>
  <si>
    <t xml:space="preserve">Dinnerware( White Ceramic) </t>
  </si>
  <si>
    <t xml:space="preserve">Bin of Serving Tongs/Spoons/Ladles </t>
  </si>
  <si>
    <t>Cake Serving Sets:</t>
  </si>
  <si>
    <t>Glass Bowl</t>
  </si>
  <si>
    <t>Faux leather chairs</t>
  </si>
  <si>
    <t>Individually wrapped (New) - Oneta Brand - est 30 each</t>
  </si>
  <si>
    <t>Quantity</t>
  </si>
  <si>
    <t>4 Drawer - 3 small 1 full size - Black MDF</t>
  </si>
  <si>
    <t>4,12</t>
  </si>
  <si>
    <t>Black, Wall Mounted - 33 inch</t>
  </si>
  <si>
    <t xml:space="preserve"> Dining Chairs</t>
  </si>
  <si>
    <t>Patio set</t>
  </si>
  <si>
    <t>Same style legs as dining table - MDF Wood Top</t>
  </si>
  <si>
    <t xml:space="preserve">Patio set </t>
  </si>
  <si>
    <t xml:space="preserve">Kitchenette Stand </t>
  </si>
  <si>
    <t>Dining Chairs</t>
  </si>
  <si>
    <t>Grey Wood With Pedestal Legs</t>
  </si>
  <si>
    <t>Green and blue floral pint on tan background</t>
  </si>
  <si>
    <t>Wood - Rectangular - Yellow</t>
  </si>
  <si>
    <t xml:space="preserve">1 oval, 1 large rect. </t>
  </si>
  <si>
    <t>Metal - 1 wheel yellow with grey handles</t>
  </si>
  <si>
    <t>Q24/T48</t>
  </si>
  <si>
    <t>Q31/T98</t>
  </si>
  <si>
    <t>Q27/T90</t>
  </si>
  <si>
    <t>Q45/T62</t>
  </si>
  <si>
    <t>Q27/T86</t>
  </si>
  <si>
    <t>Q24/T96</t>
  </si>
  <si>
    <t>Standard Pillow Cases</t>
  </si>
  <si>
    <t>Standard Pillows</t>
  </si>
  <si>
    <t xml:space="preserve"> King Size Pillows</t>
  </si>
  <si>
    <t>King Pillow Cases</t>
  </si>
  <si>
    <t>Throw Pillows</t>
  </si>
  <si>
    <t>Bath Towels</t>
  </si>
  <si>
    <t>Hand Towels</t>
  </si>
  <si>
    <t>Wash Cloths</t>
  </si>
  <si>
    <t>Bath Mats</t>
  </si>
  <si>
    <t>Day Bed Covers</t>
  </si>
  <si>
    <t>Kitchen Towels</t>
  </si>
  <si>
    <t>Kitchen Washcloths</t>
  </si>
  <si>
    <t>Replacement Cost New</t>
  </si>
  <si>
    <t xml:space="preserve">Internet </t>
  </si>
  <si>
    <t>Cisco</t>
  </si>
  <si>
    <t>By Calypso - Brown Concrete Base and Top - Hexagon - With OPRD Shield</t>
  </si>
  <si>
    <t>Wood with built in keyboard holder and built in shelf above key racks</t>
  </si>
  <si>
    <t>Mounted on wall with Suppression System - Stainless Steel</t>
  </si>
  <si>
    <t>Double Door - Wood Stove with brick surround</t>
  </si>
  <si>
    <t>Black - Built in -  Also vent for stove</t>
  </si>
  <si>
    <t>Above dishwasher</t>
  </si>
  <si>
    <t>HVAC/Heat Pump</t>
  </si>
  <si>
    <t>Dining Hall</t>
  </si>
  <si>
    <t>HVAC/ Heat Pump</t>
  </si>
  <si>
    <t>Chafer</t>
  </si>
  <si>
    <t xml:space="preserve"> Stainless steel with roll top lid and base</t>
  </si>
  <si>
    <t xml:space="preserve">Chafer </t>
  </si>
  <si>
    <t>Stainless Steel with warming stand - gold handles</t>
  </si>
  <si>
    <t>2 - Cambro, Brown Plastic 2013 , 1 - Rubbermaid Black Plastic 2008 - Both 12 slots for pans</t>
  </si>
  <si>
    <t>5 Black Bases, 4 clear plastic carafes, 5 lids(Black), 15 drip catchers (black)</t>
  </si>
  <si>
    <t>7 - Disposable wire stand for disposable hotel pans</t>
  </si>
  <si>
    <t>21 - wood handle/plastic handle</t>
  </si>
  <si>
    <t>Glass Syrup Bottle</t>
  </si>
  <si>
    <t>8 - glass syrup bottle</t>
  </si>
  <si>
    <t>Basket full of lids/spouts/handles</t>
  </si>
  <si>
    <t>Clear Glass - 11 Quart, 14 Pint, 5 Half Pint</t>
  </si>
  <si>
    <t>Shelving - Plastic</t>
  </si>
  <si>
    <t>5 shelf unit - tan, plastic</t>
  </si>
  <si>
    <t>Kefer</t>
  </si>
  <si>
    <t>Wall Clock</t>
  </si>
  <si>
    <t>Furniture and Fixtures</t>
  </si>
  <si>
    <t>Chickaree</t>
  </si>
  <si>
    <t>Wood with Glass door - No longer Functional - Remove before next Concessionaire</t>
  </si>
  <si>
    <t>2 bright white rectangle table cloths (Threshold Brand) - Have holes in them</t>
  </si>
  <si>
    <t>Associated to Lodging</t>
  </si>
  <si>
    <t>Dressing Dispenser Pieces</t>
  </si>
  <si>
    <t>Cast iron table with crisscross detail - 2 matching cast iron chairs</t>
  </si>
  <si>
    <t>Cast iron table with crisscross detail - 2 red plastic Adirondack chairs</t>
  </si>
  <si>
    <t>2 Adirondack chairs and 1 bench out front - Painted Red</t>
  </si>
  <si>
    <t>Wood Surrounding Cabinet - Attached to wall</t>
  </si>
  <si>
    <t>Vehicles</t>
  </si>
  <si>
    <t>Asset Classification</t>
  </si>
  <si>
    <t>20 in square table, 59x27 bench, 29x27 Chair</t>
  </si>
  <si>
    <t>20 in square table, 72x20 Bench, 29x27 Chair</t>
  </si>
  <si>
    <t>59x27 bench, 2 - 72x20 Bench, 29x27 Chair</t>
  </si>
  <si>
    <t>Sink - on built in bar</t>
  </si>
  <si>
    <t>Stainless Steel with Insinkerator Instant Hot Water Tank</t>
  </si>
  <si>
    <t xml:space="preserve">Steam hood </t>
  </si>
  <si>
    <t>HVAC System</t>
  </si>
  <si>
    <t>Rheem Commercial</t>
  </si>
  <si>
    <t>GHE 100ES-200LP</t>
  </si>
  <si>
    <t>A431502709</t>
  </si>
  <si>
    <t>XE50M06ST45U1</t>
  </si>
  <si>
    <t>M212108624</t>
  </si>
  <si>
    <t>PROE50 T2 RH95</t>
  </si>
  <si>
    <t>07/2012</t>
  </si>
  <si>
    <t>04/2018</t>
  </si>
  <si>
    <t>XE50T0ST45U1</t>
  </si>
  <si>
    <t>M052209335</t>
  </si>
  <si>
    <t>1/312022</t>
  </si>
  <si>
    <t xml:space="preserve">Cadet Heaters </t>
  </si>
  <si>
    <t>12 cup Coffee pot - Black</t>
  </si>
  <si>
    <r>
      <t xml:space="preserve">2 - Dell Computer towers , 1 - Sharp </t>
    </r>
    <r>
      <rPr>
        <i/>
        <sz val="12"/>
        <color theme="1"/>
        <rFont val="Calibri "/>
      </rPr>
      <t>Model: XE-A 107</t>
    </r>
    <r>
      <rPr>
        <sz val="12"/>
        <color theme="1"/>
        <rFont val="Calibri "/>
      </rPr>
      <t xml:space="preserve"> Cash Register with Cash Drawer, 2 - TFT </t>
    </r>
    <r>
      <rPr>
        <i/>
        <sz val="12"/>
        <color theme="1"/>
        <rFont val="Calibri "/>
      </rPr>
      <t>Model:GD-500</t>
    </r>
    <r>
      <rPr>
        <sz val="12"/>
        <color theme="1"/>
        <rFont val="Calibri "/>
      </rPr>
      <t xml:space="preserve"> Computer Monitors, 1 - POS-X Cash Drawer</t>
    </r>
  </si>
  <si>
    <t>Inflatable basketball hoop</t>
  </si>
  <si>
    <t xml:space="preserve"> Giant Shootball Brand</t>
  </si>
  <si>
    <t>Outdoor Storage Unit</t>
  </si>
  <si>
    <t xml:space="preserve">Chalk Board </t>
  </si>
  <si>
    <t>- 8.5x11 with decorative border</t>
  </si>
  <si>
    <t xml:space="preserve">1 cylinder vase </t>
  </si>
  <si>
    <t>- 2in round and 6in tall</t>
  </si>
  <si>
    <t>Linens</t>
  </si>
  <si>
    <t>Mylar Wreaths - 5 Heart Shaped</t>
  </si>
  <si>
    <t>Paper Doilies - I package - about 20</t>
  </si>
  <si>
    <t>13 - Metal Pails - Red/White/Pink with decorative lace top edge</t>
  </si>
  <si>
    <t>Bunnies - Straw - 5 - Some sitting and some standing - brown - with bows/flowers - about 12in long/tall</t>
  </si>
  <si>
    <t>Baskets - 12 plastic Berry Crate Esque - Pink, Yellow and Green</t>
  </si>
  <si>
    <t>Loose Wire edge ribbon  -  Underbed box full (Red/tan stripe, buffalo check)</t>
  </si>
  <si>
    <t>20 ft garland and 6ft garland -  Pinecones/ornaments attached - low quality</t>
  </si>
  <si>
    <t>Ornaments - Red/Green/Silver/Gold balls - Sterlite bin full - Assorted designs - Plastic</t>
  </si>
  <si>
    <t xml:space="preserve">Christmas fest Craft Supplies / Games - Box Full - - pipe cleaners, wood bead, Stamps, etc. </t>
  </si>
  <si>
    <t>Snowflake Tree Topper - Clear/white - Phillips Brand LED</t>
  </si>
  <si>
    <t>Icicle Lights - New Box - 300 white lights</t>
  </si>
  <si>
    <t>Strings of white lights - about 10 - about 100 blubs/strand?</t>
  </si>
  <si>
    <t>Calypso Christmas Box: 4 faux table top trees , 2 wicker wall hanging baskets with greenery, 9 green lanterns with tea light holders</t>
  </si>
  <si>
    <t xml:space="preserve">Ornaments - Full 24x12x8 box - Assorted - Owls, balls, sleds, lanterns snowflakes- mainly Dollar Tree </t>
  </si>
  <si>
    <t xml:space="preserve">Ornaments - full box 6x12x18 - Assorted - Owls, balls, sleds, lanterns snowflakes- mainly Dollar Tree </t>
  </si>
  <si>
    <t>Table Cloth  - Checkered - 4 - Black and White</t>
  </si>
  <si>
    <t>Table Clothes - 5 - Fall leaves on light background</t>
  </si>
  <si>
    <t>About 20 Lays - Some made of silk flowers and some from plastic</t>
  </si>
  <si>
    <t>Black 8 cube shelf</t>
  </si>
  <si>
    <t>Rolling - black leather(no arms), Grey Fabric, Black Mesh</t>
  </si>
  <si>
    <t xml:space="preserve"> Connected with desks</t>
  </si>
  <si>
    <t>AMERX</t>
  </si>
  <si>
    <t>ABC</t>
  </si>
  <si>
    <t>(Star TSP 100 Future Print - Black) (Epson Model:M362C - Black)</t>
  </si>
  <si>
    <t>2 small black frame - 1 - Larger Black frame</t>
  </si>
  <si>
    <t xml:space="preserve"> square wood tables with black metal pedestal base</t>
  </si>
  <si>
    <t xml:space="preserve"> Brown Cushion - Wood Back and legs</t>
  </si>
  <si>
    <t xml:space="preserve"> Mahogany Wood Chair</t>
  </si>
  <si>
    <t>1 round with metal legs that criss cross on floor, 1 black with wood top - small square - single drawer (S/N: 53-040474-40)</t>
  </si>
  <si>
    <t>Black faux leather cushion with wood armrests and legs - mission style</t>
  </si>
  <si>
    <t>Mauve upholstery</t>
  </si>
  <si>
    <t>1/2 log benches with log rounds for legs</t>
  </si>
  <si>
    <t>1/2 barrel with pole set inside - 2 with built in standing tables</t>
  </si>
  <si>
    <t>Black Plastic Wicker - In Pool house - 6ft long</t>
  </si>
  <si>
    <t>Metal Round with Criss Cross Pattern on top - 12 - Matching Chairs ( From tiny Cabins)</t>
  </si>
  <si>
    <t xml:space="preserve">in bathrooms </t>
  </si>
  <si>
    <t xml:space="preserve"> ABC</t>
  </si>
  <si>
    <t xml:space="preserve"> 1 in kitchen, 2 in dining area</t>
  </si>
  <si>
    <t xml:space="preserve"> 1 in each bathroom - about 10ft long</t>
  </si>
  <si>
    <t>Black Round Frame</t>
  </si>
  <si>
    <t>Alan Bros Coffee and Bunn Branding  - 3 liter size</t>
  </si>
  <si>
    <t xml:space="preserve">Bottle Filling Stations(1 in Closet, 1 above dishwashing sink) </t>
  </si>
  <si>
    <t>About 73 full size, 20 half size</t>
  </si>
  <si>
    <t xml:space="preserve"> 3 marked milk, 5 marked coffee</t>
  </si>
  <si>
    <t>dish soap dispensers ( 1 on either side of dish washer)</t>
  </si>
  <si>
    <t xml:space="preserve"> 5 shelf each - with DeShaw Property Tag</t>
  </si>
  <si>
    <t xml:space="preserve"> 2 Rubbermaid, 1 Continental Brand - White Rolling with Clear Lid</t>
  </si>
  <si>
    <t xml:space="preserve"> Black or Grey 3 Shelf - Plastic</t>
  </si>
  <si>
    <t xml:space="preserve">Stainless Steel - electric - </t>
  </si>
  <si>
    <t xml:space="preserve"> Stainless Steel inserts for Cooker/Warmers with lids </t>
  </si>
  <si>
    <t>Installed in counter - holds 3 full size hotel pans</t>
  </si>
  <si>
    <t>3 shelf, 4ft tall - currently above coffee makers and on buffet counter</t>
  </si>
  <si>
    <t xml:space="preserve"> Small Silver Tongs, 4 Large White Plastic Spoons, 16 Silver Ladles, 5 Small Black Tongs, 2 Large Black Tongs, 71 Black Plastic Square Spoons, 22 Metal Serving Spoons, 7 Plastic ladles, 4 Black Round Serving Spoons, 1 large Black Serving Spoon</t>
  </si>
  <si>
    <t>10 Pyrex - Clear Glass - 2.5qt.</t>
  </si>
  <si>
    <t xml:space="preserve"> 8 with wavy top edge - clear glass - about 2qt</t>
  </si>
  <si>
    <t xml:space="preserve"> Red Oval  - Plastic</t>
  </si>
  <si>
    <t xml:space="preserve"> 4 metal - 8 in round</t>
  </si>
  <si>
    <t xml:space="preserve"> Textured Glass - 10 and 12in round</t>
  </si>
  <si>
    <t>9x13 casserole dish handles</t>
  </si>
  <si>
    <t xml:space="preserve"> 2 wire, 1 larger with wooden handle, 1 smaller plastic handle</t>
  </si>
  <si>
    <t xml:space="preserve"> Ribbed Metal - 10</t>
  </si>
  <si>
    <t xml:space="preserve"> Stainless steel - 3 sets of: (1 Spatula, 2 Slotted Spoon, 2 round solid spoons)</t>
  </si>
  <si>
    <t xml:space="preserve"> 6 large stainless steel serving soup ladles - 4oz size, 1 - Black Plastic</t>
  </si>
  <si>
    <t xml:space="preserve"> 9 with thumb press - plastic handle with metal scoop</t>
  </si>
  <si>
    <t xml:space="preserve"> Black Plastic with dark wood handle (FJNATINH Brand) - spatula and ladle, long handle</t>
  </si>
  <si>
    <t>Stainless Steel</t>
  </si>
  <si>
    <t xml:space="preserve"> Large Black Plastic, Serving or cooking</t>
  </si>
  <si>
    <t xml:space="preserve"> about 20 - Stainless Steel</t>
  </si>
  <si>
    <t xml:space="preserve"> Stainless Steel - Pump style - fits on SS pots</t>
  </si>
  <si>
    <t xml:space="preserve">  Box Grater with 4 sides - Metal with Black Plastic Handle</t>
  </si>
  <si>
    <t xml:space="preserve">  2 about 6qt size (Champagne ice bucket?)</t>
  </si>
  <si>
    <t xml:space="preserve"> Plastic , 1 - 4 qt., 1 - 4 cup</t>
  </si>
  <si>
    <t xml:space="preserve"> Plastic - white(opaque)</t>
  </si>
  <si>
    <t xml:space="preserve"> Cooling, 4 - Stainless Steel - 9x13 size</t>
  </si>
  <si>
    <t xml:space="preserve"> Large Ceramic Oval - 24x12in</t>
  </si>
  <si>
    <t xml:space="preserve"> 6in ramekins</t>
  </si>
  <si>
    <t xml:space="preserve"> Mini Ramekins (Condiment Cups)</t>
  </si>
  <si>
    <t xml:space="preserve"> Fluted Bowls - Small</t>
  </si>
  <si>
    <t xml:space="preserve"> Plain Bowl - Small - Bouillon Cup</t>
  </si>
  <si>
    <t>8 Sugar Packet Holders</t>
  </si>
  <si>
    <t xml:space="preserve"> round salad/serving bowls (wavy top edge)</t>
  </si>
  <si>
    <t xml:space="preserve"> salad plates</t>
  </si>
  <si>
    <t xml:space="preserve"> Dinner Plates</t>
  </si>
  <si>
    <t xml:space="preserve"> creamer pitchers (small)</t>
  </si>
  <si>
    <t>8x8in square ceramic bowls - white</t>
  </si>
  <si>
    <t xml:space="preserve">Fondue Forks - about </t>
  </si>
  <si>
    <t xml:space="preserve">Steak Knife </t>
  </si>
  <si>
    <t xml:space="preserve">Teaspoons - new box, Modena brand </t>
  </si>
  <si>
    <t xml:space="preserve"> small water/juice glasses - clear glass with fluted bottom</t>
  </si>
  <si>
    <t xml:space="preserve"> tall fluted base water glasses</t>
  </si>
  <si>
    <t>Champagne Glasses</t>
  </si>
  <si>
    <t xml:space="preserve"> Wine Glasses</t>
  </si>
  <si>
    <t xml:space="preserve"> Beer Glasses</t>
  </si>
  <si>
    <t xml:space="preserve"> Coffee Mugs</t>
  </si>
  <si>
    <t xml:space="preserve"> Water Goblets</t>
  </si>
  <si>
    <t xml:space="preserve"> wine glasses - Chardonnay Glasses (shallower and wider than other set)</t>
  </si>
  <si>
    <t xml:space="preserve"> wine glasses - shorter stem than other set</t>
  </si>
  <si>
    <t xml:space="preserve"> flared out juice glasses</t>
  </si>
  <si>
    <t xml:space="preserve"> rectangle trays with round corners(10x14in)</t>
  </si>
  <si>
    <t xml:space="preserve"> 8in round shallow bowl</t>
  </si>
  <si>
    <t xml:space="preserve"> XL serving trays - 12x24in</t>
  </si>
  <si>
    <t>8x8in square bowls - 2in deep</t>
  </si>
  <si>
    <t>Full size - some with holes, dividers - 53 2.5in deep, 12 - 4 or 6in deep</t>
  </si>
  <si>
    <t>Half size long  5 - 2.5 in deep, 1 - 6in deep</t>
  </si>
  <si>
    <t xml:space="preserve"> 1/3 size - 12 -  4 in deep, 1 - 6in deep ( 3 metal lids)</t>
  </si>
  <si>
    <t xml:space="preserve"> 1/9 size - 4in deep</t>
  </si>
  <si>
    <t>Half Size Short - 7 - 2.5in deep, 7 - 4in deep, 1 - 6in deep</t>
  </si>
  <si>
    <t>Full Size, 7 - 2.5in. deep, 9 - 4in. deep, 2 - 6in. deep</t>
  </si>
  <si>
    <t xml:space="preserve"> 1/3 size - 16 - 2.5in deep, 2 -6 in. deep</t>
  </si>
  <si>
    <t>1/6 size - 2.5in deep</t>
  </si>
  <si>
    <t xml:space="preserve"> 1/9in size - 1 - 4in deep, 1 - 6in deep</t>
  </si>
  <si>
    <t xml:space="preserve"> 1/3 size - 2.5in deep</t>
  </si>
  <si>
    <t xml:space="preserve"> 1/6 size - 5 - 2.5in deep, 8 6in deep</t>
  </si>
  <si>
    <t xml:space="preserve"> 22qt</t>
  </si>
  <si>
    <t xml:space="preserve"> 20qt</t>
  </si>
  <si>
    <t>12 qt</t>
  </si>
  <si>
    <t xml:space="preserve"> 8qt</t>
  </si>
  <si>
    <t>6 qt</t>
  </si>
  <si>
    <t xml:space="preserve"> 4 qt</t>
  </si>
  <si>
    <t xml:space="preserve"> 2qt</t>
  </si>
  <si>
    <t xml:space="preserve"> large flat storage containers with lid(slightly larger than full size hotel pan) - Cambro Brand</t>
  </si>
  <si>
    <t xml:space="preserve"> full length wood and metal frame in women's side</t>
  </si>
  <si>
    <t xml:space="preserve"> Brass with white shade</t>
  </si>
  <si>
    <t xml:space="preserve"> Framed photos of waterfalls</t>
  </si>
  <si>
    <t xml:space="preserve"> Blue/green fabric</t>
  </si>
  <si>
    <t>Framed water fall pictures</t>
  </si>
  <si>
    <t>5 - Framed photos - 1 sign</t>
  </si>
  <si>
    <t xml:space="preserve"> Mauve upholstery</t>
  </si>
  <si>
    <t xml:space="preserve"> Bronze hanging on Shower head</t>
  </si>
  <si>
    <t xml:space="preserve"> Tan</t>
  </si>
  <si>
    <t xml:space="preserve"> 2 carpet, 2 plastic </t>
  </si>
  <si>
    <t xml:space="preserve"> Framed Photos - Water falls/ other places in Silver Falls SP</t>
  </si>
  <si>
    <t xml:space="preserve">2 carpet, 2 plastic </t>
  </si>
  <si>
    <t xml:space="preserve"> Green upholstery</t>
  </si>
  <si>
    <t>Green upholstery</t>
  </si>
  <si>
    <t>Green Upholstery</t>
  </si>
  <si>
    <t xml:space="preserve"> White wire hanging on Shower head</t>
  </si>
  <si>
    <t xml:space="preserve"> Sm- L - Set of 5 T-Fal, 2 Stainless Steal pots</t>
  </si>
  <si>
    <t xml:space="preserve"> 8ft - Wood top with Metal edge and folding legs</t>
  </si>
  <si>
    <t xml:space="preserve"> Brown wood with tan cushion</t>
  </si>
  <si>
    <t>Purple upholstery with metal legs</t>
  </si>
  <si>
    <t xml:space="preserve"> Tan and white patterned drapes with Silver rivets - 4/ window</t>
  </si>
  <si>
    <t xml:space="preserve"> Rebar rack on wheels</t>
  </si>
  <si>
    <t xml:space="preserve">Wood - 1 has double bed on bottom with twin on top  - 65 green mattresses </t>
  </si>
  <si>
    <t>Stainless Steel top with Bottom shelf, 1 stainless top with wooden legs</t>
  </si>
  <si>
    <t xml:space="preserve"> Rebar frame with wheels</t>
  </si>
  <si>
    <t xml:space="preserve">Black metal frame with purple upholstery seat </t>
  </si>
  <si>
    <t xml:space="preserve"> White</t>
  </si>
  <si>
    <t xml:space="preserve"> Black Plastic with Clear Drawers - Assorted small hardware (Electrical, Carpentry, Machining, Etc.)</t>
  </si>
  <si>
    <t>Mounted to Bench -Red BABCO Tools and Blue Irwin - both about 12in total length</t>
  </si>
  <si>
    <t xml:space="preserve"> 1 used white Walmart Brand, 1 new in box Hamilton Beach Brand</t>
  </si>
  <si>
    <t>Wood handle/plastic handle</t>
  </si>
  <si>
    <t xml:space="preserve"> Black Plastic </t>
  </si>
  <si>
    <t>4 strap, black straps with chrome legs</t>
  </si>
  <si>
    <t xml:space="preserve"> Orange with holes 2x4 ft</t>
  </si>
  <si>
    <t xml:space="preserve"> Metal legs with wood top - (Match tables in SCHM)</t>
  </si>
  <si>
    <t>On wheels (1-26x26in square, 1 - 32x21in square, 1 - wood sides 24x48in)</t>
  </si>
  <si>
    <t xml:space="preserve"> 1 Bottle Filler, 1 - Solid Detergent Dispenser, 1 Detergent Dispenser Connected to Commercial Washer</t>
  </si>
  <si>
    <t xml:space="preserve"> 5 Shelf, Black, Metal, 6ft tall</t>
  </si>
  <si>
    <t>Queen/Twin</t>
  </si>
  <si>
    <t xml:space="preserve">White </t>
  </si>
  <si>
    <t xml:space="preserve">Green </t>
  </si>
  <si>
    <t xml:space="preserve"> Commercial, Red with grey bag</t>
  </si>
  <si>
    <t xml:space="preserve"> 5 Shelf, Grey, Storage Racks - 6x4x2</t>
  </si>
  <si>
    <t xml:space="preserve"> 4 shelf, Grey,  6ftx5ftx18in </t>
  </si>
  <si>
    <t>Assorted Color - about 24x16x12</t>
  </si>
  <si>
    <t xml:space="preserve"> Sterlite - 4-5ft long, 10-14in wide, 3-4 in tall</t>
  </si>
  <si>
    <t xml:space="preserve"> Grey or blue striped - Polar Fleece</t>
  </si>
  <si>
    <t xml:space="preserve"> 9in -White Round </t>
  </si>
  <si>
    <t xml:space="preserve"> Silk like material - Navy Blue - 6 inx8ft</t>
  </si>
  <si>
    <t>2 metal, 3 plastic</t>
  </si>
  <si>
    <t xml:space="preserve"> Stainless Steel, - 7 qt.</t>
  </si>
  <si>
    <t>Stainless Steel pots, 1 top with pump</t>
  </si>
  <si>
    <t xml:space="preserve"> White ceramic</t>
  </si>
  <si>
    <t>Tan Plastic</t>
  </si>
  <si>
    <t xml:space="preserve"> Stainless Steal - Same as Kitchen</t>
  </si>
  <si>
    <t xml:space="preserve"> Clear Glass, tapered to bottom with small handle</t>
  </si>
  <si>
    <t xml:space="preserve"> Solid Metal - 5 shelf - 6ft tall - Dark Grey</t>
  </si>
  <si>
    <t>Black Plastic with Plastic Chain</t>
  </si>
  <si>
    <t>Clear Glass, short stem</t>
  </si>
  <si>
    <t xml:space="preserve"> Black - 5ft tall</t>
  </si>
  <si>
    <t>Galvanized with Eye hook at one end</t>
  </si>
  <si>
    <t xml:space="preserve"> 2 "Snow Joe", 1 "True Temper", 1 "Dominator"</t>
  </si>
  <si>
    <t>Green Metal T posts, 5 ft tall</t>
  </si>
  <si>
    <t>1 Slim Jim and 1 smaller plastic</t>
  </si>
  <si>
    <t>Different lengths - new in packaging</t>
  </si>
  <si>
    <t>4 tan, 1 red - wood slat seat and back - no arm rest</t>
  </si>
  <si>
    <t xml:space="preserve"> Wood with Metal Banding </t>
  </si>
  <si>
    <t>Wood with metal banding - (1 has Calypso sig in it)</t>
  </si>
  <si>
    <t xml:space="preserve"> White Plastic - Folding, On 4 brown metal rolling carts </t>
  </si>
  <si>
    <t xml:space="preserve"> Black metal with 4 wheels</t>
  </si>
  <si>
    <t xml:space="preserve"> 32 gallon grey plastic</t>
  </si>
  <si>
    <t>2 different cascading streams with branches in the water's path</t>
  </si>
  <si>
    <t>1 in winter, 1 in spring, 1 in summer, all of South Falls</t>
  </si>
  <si>
    <t>Wood with metal legs</t>
  </si>
  <si>
    <t>Note from Cathy Cook about time at Smith Creek Girls Camp (1952)</t>
  </si>
  <si>
    <t>Person Reading Book Under Tree</t>
  </si>
  <si>
    <t xml:space="preserve">South Falls Lodge from porch side (Side closest to South Falls) </t>
  </si>
  <si>
    <t>Mounted in counter top in Women's restroom</t>
  </si>
  <si>
    <t>Separate sink in Men's room</t>
  </si>
  <si>
    <t>Chrome in bathroom</t>
  </si>
  <si>
    <t>Mounted in wall with attached thermostat</t>
  </si>
  <si>
    <t xml:space="preserve"> Chrome in bathroom</t>
  </si>
  <si>
    <t xml:space="preserve">Mounted in wall with attached thermostat -1 smaller than others </t>
  </si>
  <si>
    <t>Chrome</t>
  </si>
  <si>
    <t>2 -  Chrome Bars 2 - Hand towels hoops</t>
  </si>
  <si>
    <t xml:space="preserve"> 1 in closet and 1 over sink</t>
  </si>
  <si>
    <t xml:space="preserve"> Mounted on wood  - entire SFSP</t>
  </si>
  <si>
    <t xml:space="preserve"> Metal with predrilled holes</t>
  </si>
  <si>
    <t>Assorted</t>
  </si>
  <si>
    <t>Wood with Metal Base - Standard Size</t>
  </si>
  <si>
    <t xml:space="preserve"> Painted Metal Light posts (Brown about 2ft tall)</t>
  </si>
  <si>
    <t>Fire Ring</t>
  </si>
  <si>
    <r>
      <t>8.5x11 framed photo of tree (Black Frame),</t>
    </r>
    <r>
      <rPr>
        <sz val="12"/>
        <color rgb="FFFF0000"/>
        <rFont val="Calibri "/>
      </rPr>
      <t xml:space="preserve"> </t>
    </r>
    <r>
      <rPr>
        <sz val="12"/>
        <rFont val="Calibri "/>
      </rPr>
      <t>24x36 Framed Black and White South Falls Lodge Print,</t>
    </r>
    <r>
      <rPr>
        <sz val="12"/>
        <color theme="1"/>
        <rFont val="Calibri "/>
      </rPr>
      <t xml:space="preserve"> 32x32 Framed 9 patterned squares, 2 matching 36x21 silver frame with decorative paisley style print, 36in long Wire Wall Hanging in Tree Shapes</t>
    </r>
  </si>
  <si>
    <t>Toilet</t>
  </si>
  <si>
    <t xml:space="preserve">Toilet    </t>
  </si>
  <si>
    <t xml:space="preserve">Toilet   </t>
  </si>
  <si>
    <t>Res. Booth</t>
  </si>
  <si>
    <t>2 - Assorted Sizes</t>
  </si>
  <si>
    <t>Stainless Steel - 1 - about 8 in round</t>
  </si>
  <si>
    <t>Black door mat, 1 - Blue/white swirled pattern and 1 - multicolored with diamond/floral traditional designs( both about 2x3-4 ft)</t>
  </si>
  <si>
    <t xml:space="preserve"> Cake Serving Set(Clear Plastic, 4pcs. ), Cake Server wood handle, Cake Serving Set(Metal, 4 pcs.), Cake Serving Set( Cut plastic decorative handles)</t>
  </si>
  <si>
    <t xml:space="preserve"> Black Plastic Round - Nemco Brand</t>
  </si>
  <si>
    <t>(Salad Dressing) - 2 small cylinder, 16 large cylinder, 2 round Taper Large, 1 glass taper with lids</t>
  </si>
  <si>
    <t>5 jars(4 w/ fake plants), 6 framed Postcards/Prints, Wall décor(wood shaped like Oregon)</t>
  </si>
  <si>
    <t xml:space="preserve"> Plastic with Plastic Chain</t>
  </si>
  <si>
    <t>9 Stainless Steel, 4 plastic</t>
  </si>
  <si>
    <t xml:space="preserve">Electric instant hot water  </t>
  </si>
  <si>
    <t xml:space="preserve"> 1/3 hotel bin full of each : Fork, Spoon, Knife - restaurant ware grade - Stainless Steel - est 40 each</t>
  </si>
  <si>
    <t>Strainer/sieve</t>
  </si>
  <si>
    <t>Hotpoint</t>
  </si>
  <si>
    <t>Burlap Tan</t>
  </si>
  <si>
    <t xml:space="preserve">Internet network </t>
  </si>
  <si>
    <t>Security System</t>
  </si>
  <si>
    <t xml:space="preserve"> led candle inside on a wood round with faux greenery garland</t>
  </si>
  <si>
    <t>1 garland above cabinets</t>
  </si>
  <si>
    <t>Rotating, 1 metal , 1 plastic</t>
  </si>
  <si>
    <t>9x13 size - decorative</t>
  </si>
  <si>
    <t>Clear Glass: 3 -16x6in, 13 - 12x5in, 12 - 10x3.5in, 8 - 8.5x3.5in, 39 - 7.5x3.5in, 2 - 6x3.5in, 1 - 4x3.5in</t>
  </si>
  <si>
    <t>Spatulas, Whisks, Pyrex bowls, measuring spoons, paper towel holder</t>
  </si>
  <si>
    <t xml:space="preserve">Remove Before Next Concessionaire </t>
  </si>
  <si>
    <t>Napkins</t>
  </si>
  <si>
    <t>White Napkins</t>
  </si>
  <si>
    <t xml:space="preserve"> Shower Curtain</t>
  </si>
  <si>
    <t>New Shower Curtain Liners</t>
  </si>
  <si>
    <t>Clear</t>
  </si>
  <si>
    <t>1.2 qt. Black Round Polypropylene Crock</t>
  </si>
  <si>
    <t>Easel, Wood - mini</t>
  </si>
  <si>
    <t>2 - in ground, metal with grate on top - Remove before next concessionaire</t>
  </si>
  <si>
    <t>Multi Color/Pattern</t>
  </si>
  <si>
    <t>Serving Platter</t>
  </si>
  <si>
    <t>Landline Telephone Cords/netgear wall plug in</t>
  </si>
  <si>
    <t>3 yellow, 2 green large square - 1 rectangle with red tassles on corners - 2 - blue/green/white patterned stripe( thick yarn woven fabric)</t>
  </si>
  <si>
    <t>Methodology</t>
  </si>
  <si>
    <t>Three documents helped to determine ownership of the personal property items found during the inventory: the OPRD asset list created on March 22, 2021, the personal property list from the December 2020 Silver Falls Lodge and Conference Center (California Parks) Termination Agreement, and the Personal Property list provided by Silver Falls Hospitality in 2022. Other sources, such as the OPRIS database, were also used to clarify ownership. After compiling a list of unclear assets not found on any of the above documents, OPRD and Silver Falls Hospitality worked together to determine ownership.</t>
  </si>
  <si>
    <t>The final personal property list is based on that work and is broken into three categories (Retain, Transfer, and Dispose). The first tab, “Retain” includes all items that OPRD will retain ownership of and lease to future concessionaires. The next tab, “Transfer” includes all items that still had remaining useful life and will be offered for transfer to the 2024 concessionaire contractor. The third tab, “Dispose” includes items of very little to no value or that have reached the end of their useful life. OPRD plans to remove/donate/dispose of these items before the 2024 contract begins.</t>
  </si>
  <si>
    <t>The inventory was used to prepare the 2024 concessionaire contract to determine the value the Personal Property added to the contract.</t>
  </si>
  <si>
    <t>This document was created through an inventory completed from October to December 2023 of all buildings/property utilized by the concessionaires operating within Silver Falls State Park. The two concessionaires include Business Enterprise Program(Oregon Commission for the Blind) operating the South Falls Café  and Silver Falls Hospitality operating Smith Creek Village including the Ranches. Every item was documented with photos and added to the spreadsheet.</t>
  </si>
  <si>
    <t>Leased?</t>
  </si>
  <si>
    <t>fair-poor</t>
  </si>
  <si>
    <t xml:space="preserve">6 Bridal - 4  in 12x18 IKEA frames , 2 in smaller 4x6 frames  </t>
  </si>
  <si>
    <t xml:space="preserve">Rug </t>
  </si>
  <si>
    <t>Funiture and Fixtures</t>
  </si>
  <si>
    <t>1 - Black, 1 - Gold - Metal easel to hold flipchart</t>
  </si>
  <si>
    <t>Cadet Heater</t>
  </si>
  <si>
    <t>White - in wall heater</t>
  </si>
  <si>
    <t>8 framed Black and White photos of waterfalls - Prints from June Drake</t>
  </si>
  <si>
    <t>Color framed photos(Asset # 10426, 10428), 10ftx5ft painting of Bridge with Beaver and Bobcat</t>
  </si>
  <si>
    <t xml:space="preserve">  2 Winter Waterfall Pictures(Middle North and South) - Black Frame - Adam Bacher</t>
  </si>
  <si>
    <t>Photo of Double Falls  - 1 in winter, 1 in spring, 1 in fall</t>
  </si>
  <si>
    <t>5 - yellow, green and blue - various patterns</t>
  </si>
  <si>
    <t>White/Black/Cream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</si>
</sst>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409]* #,##0.00_);_([$$-409]* \(#,##0.00\);_([$$-409]* &quot;-&quot;??_);_(@_)"/>
  </numFmts>
  <fonts count="22">
    <font>
      <sz val="11"/>
      <color theme="1"/>
      <name val="Calibri"/>
      <family val="2"/>
      <scheme val="minor"/>
    </font>
    <font>
      <sz val="11"/>
      <color theme="1"/>
      <name val="Calibri"/>
      <family val="2"/>
      <scheme val="minor"/>
    </font>
    <font>
      <sz val="14"/>
      <color theme="1"/>
      <name val="Garamond"/>
      <family val="1"/>
    </font>
    <font>
      <b/>
      <sz val="9"/>
      <color indexed="81"/>
      <name val="Tahoma"/>
      <family val="2"/>
    </font>
    <font>
      <sz val="9"/>
      <color indexed="81"/>
      <name val="Tahoma"/>
      <family val="2"/>
    </font>
    <font>
      <u/>
      <sz val="11"/>
      <color theme="10"/>
      <name val="Calibri"/>
      <family val="2"/>
      <scheme val="minor"/>
    </font>
    <font>
      <sz val="10"/>
      <color indexed="8"/>
      <name val="Arial"/>
      <family val="2"/>
    </font>
    <font>
      <sz val="12"/>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2"/>
      <color theme="1"/>
      <name val="Calibri "/>
    </font>
    <font>
      <b/>
      <sz val="12"/>
      <color theme="1"/>
      <name val="Calibri "/>
    </font>
    <font>
      <b/>
      <sz val="12"/>
      <color rgb="FF000000"/>
      <name val="Calibri "/>
    </font>
    <font>
      <sz val="12"/>
      <color rgb="FF000000"/>
      <name val="Calibri "/>
    </font>
    <font>
      <u/>
      <sz val="12"/>
      <color theme="10"/>
      <name val="Calibri "/>
    </font>
    <font>
      <sz val="12"/>
      <color rgb="FFFF0000"/>
      <name val="Calibri "/>
    </font>
    <font>
      <i/>
      <sz val="12"/>
      <color theme="1"/>
      <name val="Calibri "/>
    </font>
    <font>
      <sz val="12"/>
      <name val="Calibri "/>
    </font>
    <font>
      <b/>
      <sz val="11"/>
      <color theme="1"/>
      <name val="Calibri"/>
      <family val="2"/>
      <scheme val="minor"/>
    </font>
    <font>
      <b/>
      <sz val="14"/>
      <color theme="1"/>
      <name val="Garamond"/>
      <family val="1"/>
    </font>
    <font>
      <sz val="14"/>
      <name val="Calibri"/>
      <family val="2"/>
      <scheme val="minor"/>
    </font>
  </fonts>
  <fills count="9">
    <fill>
      <patternFill patternType="none"/>
    </fill>
    <fill>
      <patternFill patternType="gray125"/>
    </fill>
    <fill>
      <patternFill patternType="solid">
        <fgColor theme="6"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E2EFDA"/>
        <bgColor rgb="FF000000"/>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6" fillId="0" borderId="0"/>
    <xf numFmtId="9" fontId="1" fillId="0" borderId="0" applyFont="0" applyFill="0" applyBorder="0" applyAlignment="0" applyProtection="0"/>
  </cellStyleXfs>
  <cellXfs count="159">
    <xf numFmtId="0" fontId="0" fillId="0" borderId="0" xfId="0"/>
    <xf numFmtId="0" fontId="2" fillId="0" borderId="1" xfId="0" applyFont="1" applyBorder="1" applyAlignment="1">
      <alignment horizontal="center" wrapText="1"/>
    </xf>
    <xf numFmtId="0" fontId="7" fillId="0" borderId="1" xfId="0" applyFont="1" applyBorder="1" applyAlignment="1">
      <alignment horizontal="center" wrapText="1"/>
    </xf>
    <xf numFmtId="0" fontId="8" fillId="2" borderId="1" xfId="0" applyFont="1" applyFill="1" applyBorder="1" applyAlignment="1">
      <alignment horizontal="center" wrapText="1"/>
    </xf>
    <xf numFmtId="0" fontId="8" fillId="2" borderId="1" xfId="0" applyFont="1" applyFill="1" applyBorder="1" applyAlignment="1">
      <alignment wrapText="1"/>
    </xf>
    <xf numFmtId="44" fontId="8" fillId="2" borderId="1" xfId="1" applyFont="1" applyFill="1" applyBorder="1" applyAlignment="1">
      <alignment horizontal="center" wrapText="1"/>
    </xf>
    <xf numFmtId="0" fontId="9" fillId="2" borderId="1" xfId="0" applyFont="1" applyFill="1" applyBorder="1" applyAlignment="1">
      <alignment wrapText="1"/>
    </xf>
    <xf numFmtId="0" fontId="7" fillId="0" borderId="0" xfId="0" applyFont="1" applyAlignment="1">
      <alignment wrapText="1"/>
    </xf>
    <xf numFmtId="0" fontId="7" fillId="0" borderId="3" xfId="0" applyFont="1" applyBorder="1" applyAlignment="1">
      <alignment horizontal="center" wrapText="1"/>
    </xf>
    <xf numFmtId="0" fontId="7" fillId="4" borderId="1" xfId="0" applyFont="1" applyFill="1" applyBorder="1" applyAlignment="1">
      <alignment wrapText="1"/>
    </xf>
    <xf numFmtId="44" fontId="7" fillId="0" borderId="1" xfId="1" applyFont="1" applyBorder="1" applyAlignment="1">
      <alignment horizontal="center" wrapText="1"/>
    </xf>
    <xf numFmtId="0" fontId="7" fillId="0" borderId="0" xfId="0" applyFont="1" applyAlignment="1">
      <alignment horizontal="center" wrapText="1"/>
    </xf>
    <xf numFmtId="44" fontId="7" fillId="0" borderId="2" xfId="1" applyFont="1" applyBorder="1" applyAlignment="1">
      <alignment horizontal="center" wrapText="1"/>
    </xf>
    <xf numFmtId="0" fontId="7" fillId="0" borderId="2" xfId="0" applyFont="1" applyBorder="1" applyAlignment="1">
      <alignment horizontal="center" wrapText="1"/>
    </xf>
    <xf numFmtId="0" fontId="7" fillId="0" borderId="4" xfId="0" applyFont="1" applyBorder="1" applyAlignment="1">
      <alignment horizontal="center" wrapText="1"/>
    </xf>
    <xf numFmtId="0" fontId="7" fillId="0" borderId="1" xfId="0" applyFont="1" applyBorder="1" applyAlignment="1">
      <alignment wrapText="1"/>
    </xf>
    <xf numFmtId="0" fontId="7" fillId="0" borderId="2" xfId="0" applyFont="1" applyBorder="1" applyAlignment="1">
      <alignment wrapText="1"/>
    </xf>
    <xf numFmtId="0" fontId="7" fillId="0" borderId="4" xfId="0" applyFont="1" applyBorder="1" applyAlignment="1">
      <alignment wrapText="1"/>
    </xf>
    <xf numFmtId="0" fontId="7" fillId="0" borderId="3" xfId="0" applyFont="1" applyBorder="1" applyAlignment="1">
      <alignment horizontal="center" vertical="center" wrapText="1"/>
    </xf>
    <xf numFmtId="44" fontId="7" fillId="0" borderId="1" xfId="1" applyFont="1" applyBorder="1" applyAlignment="1">
      <alignment horizontal="center"/>
    </xf>
    <xf numFmtId="0" fontId="10" fillId="0" borderId="0" xfId="0" applyFont="1" applyAlignment="1">
      <alignment horizontal="center" wrapText="1"/>
    </xf>
    <xf numFmtId="0" fontId="10" fillId="0" borderId="1" xfId="0" applyFont="1" applyBorder="1" applyAlignment="1">
      <alignment horizontal="center" wrapText="1"/>
    </xf>
    <xf numFmtId="44" fontId="10" fillId="0" borderId="1" xfId="1" applyFont="1" applyBorder="1" applyAlignment="1">
      <alignment horizontal="center" wrapText="1"/>
    </xf>
    <xf numFmtId="0" fontId="10" fillId="0" borderId="0" xfId="0" applyFont="1" applyAlignment="1">
      <alignment wrapText="1"/>
    </xf>
    <xf numFmtId="44" fontId="7" fillId="0" borderId="0" xfId="1" applyFont="1" applyFill="1" applyAlignment="1">
      <alignment horizontal="center" wrapText="1"/>
    </xf>
    <xf numFmtId="0" fontId="7" fillId="0" borderId="0" xfId="0" applyFont="1" applyAlignment="1">
      <alignment horizontal="center" vertical="center" wrapText="1"/>
    </xf>
    <xf numFmtId="12" fontId="7" fillId="0" borderId="1" xfId="0" applyNumberFormat="1" applyFont="1" applyBorder="1" applyAlignment="1">
      <alignment horizontal="center" wrapText="1"/>
    </xf>
    <xf numFmtId="0" fontId="7" fillId="4" borderId="7" xfId="0" applyFont="1" applyFill="1" applyBorder="1" applyAlignment="1">
      <alignment wrapText="1"/>
    </xf>
    <xf numFmtId="0" fontId="7" fillId="0" borderId="7" xfId="0" applyFont="1" applyBorder="1" applyAlignment="1">
      <alignment horizontal="center" wrapText="1"/>
    </xf>
    <xf numFmtId="0" fontId="7" fillId="4" borderId="5" xfId="0" applyFont="1" applyFill="1" applyBorder="1" applyAlignment="1">
      <alignment wrapText="1"/>
    </xf>
    <xf numFmtId="0" fontId="7" fillId="0" borderId="5" xfId="0" applyFont="1" applyBorder="1" applyAlignment="1">
      <alignment horizontal="center" wrapText="1"/>
    </xf>
    <xf numFmtId="44" fontId="7" fillId="0" borderId="5" xfId="1" applyFont="1" applyBorder="1" applyAlignment="1">
      <alignment horizontal="center" wrapText="1"/>
    </xf>
    <xf numFmtId="44" fontId="7" fillId="0" borderId="0" xfId="1" applyFont="1" applyAlignment="1">
      <alignment horizontal="center" wrapText="1"/>
    </xf>
    <xf numFmtId="0" fontId="7" fillId="0" borderId="1" xfId="0" applyFont="1" applyBorder="1" applyAlignment="1">
      <alignment horizontal="left" wrapText="1"/>
    </xf>
    <xf numFmtId="0" fontId="8" fillId="0" borderId="0" xfId="0" applyFont="1" applyAlignment="1">
      <alignment wrapText="1"/>
    </xf>
    <xf numFmtId="0" fontId="7" fillId="0" borderId="1" xfId="0" applyFont="1" applyBorder="1" applyAlignment="1">
      <alignment horizontal="center" vertical="center" wrapText="1"/>
    </xf>
    <xf numFmtId="0" fontId="10" fillId="0" borderId="7" xfId="0" applyFont="1" applyBorder="1" applyAlignment="1">
      <alignment horizontal="center" wrapText="1"/>
    </xf>
    <xf numFmtId="0" fontId="7" fillId="4" borderId="4" xfId="0" applyFont="1" applyFill="1" applyBorder="1" applyAlignment="1">
      <alignment wrapText="1"/>
    </xf>
    <xf numFmtId="0" fontId="9" fillId="0" borderId="0" xfId="0" applyFont="1" applyAlignment="1">
      <alignment horizontal="center" wrapText="1"/>
    </xf>
    <xf numFmtId="0" fontId="7" fillId="0" borderId="8" xfId="0" applyFont="1" applyBorder="1" applyAlignment="1">
      <alignment wrapText="1"/>
    </xf>
    <xf numFmtId="0" fontId="10" fillId="0" borderId="8" xfId="0" applyFont="1" applyBorder="1" applyAlignment="1">
      <alignment horizontal="center" wrapText="1"/>
    </xf>
    <xf numFmtId="44" fontId="10" fillId="0" borderId="0" xfId="1" applyFont="1" applyBorder="1" applyAlignment="1">
      <alignment horizontal="center" wrapText="1"/>
    </xf>
    <xf numFmtId="0" fontId="7" fillId="0" borderId="12" xfId="0" applyFont="1" applyBorder="1" applyAlignment="1">
      <alignment horizontal="center" wrapText="1"/>
    </xf>
    <xf numFmtId="44" fontId="7" fillId="0" borderId="1" xfId="1" applyFont="1" applyFill="1" applyBorder="1" applyAlignment="1">
      <alignment horizontal="center" wrapText="1"/>
    </xf>
    <xf numFmtId="44" fontId="7" fillId="0" borderId="1" xfId="1" applyFont="1" applyBorder="1" applyAlignment="1">
      <alignment wrapText="1"/>
    </xf>
    <xf numFmtId="44" fontId="7" fillId="0" borderId="0" xfId="1" applyFont="1" applyAlignment="1">
      <alignment wrapText="1"/>
    </xf>
    <xf numFmtId="44" fontId="7" fillId="0" borderId="7" xfId="1" applyFont="1" applyBorder="1" applyAlignment="1">
      <alignment horizontal="center" wrapText="1"/>
    </xf>
    <xf numFmtId="0" fontId="7" fillId="7" borderId="1" xfId="0" applyFont="1" applyFill="1" applyBorder="1" applyAlignment="1">
      <alignment horizontal="center" wrapText="1"/>
    </xf>
    <xf numFmtId="14" fontId="7" fillId="0" borderId="1" xfId="0" applyNumberFormat="1" applyFont="1" applyBorder="1" applyAlignment="1">
      <alignment horizontal="center" wrapText="1"/>
    </xf>
    <xf numFmtId="0" fontId="8" fillId="0" borderId="2" xfId="0" applyFont="1" applyBorder="1" applyAlignment="1">
      <alignment wrapText="1"/>
    </xf>
    <xf numFmtId="0" fontId="8" fillId="0" borderId="1" xfId="0" applyFont="1" applyBorder="1" applyAlignment="1">
      <alignment horizontal="center" wrapText="1"/>
    </xf>
    <xf numFmtId="0" fontId="8" fillId="0" borderId="4" xfId="0" applyFont="1" applyBorder="1" applyAlignment="1">
      <alignment horizontal="center" wrapText="1"/>
    </xf>
    <xf numFmtId="0" fontId="7" fillId="4" borderId="2" xfId="0" applyFont="1" applyFill="1" applyBorder="1" applyAlignment="1">
      <alignment wrapText="1"/>
    </xf>
    <xf numFmtId="0" fontId="7" fillId="0" borderId="1" xfId="3" applyFont="1" applyBorder="1" applyAlignment="1">
      <alignment horizontal="center" wrapText="1"/>
    </xf>
    <xf numFmtId="44" fontId="7" fillId="0" borderId="1" xfId="1" applyFont="1" applyBorder="1" applyAlignment="1">
      <alignment horizontal="left" wrapText="1"/>
    </xf>
    <xf numFmtId="0" fontId="7" fillId="0" borderId="13" xfId="0" applyFont="1" applyBorder="1" applyAlignment="1">
      <alignment wrapText="1"/>
    </xf>
    <xf numFmtId="0" fontId="7" fillId="0" borderId="11" xfId="0" applyFont="1" applyBorder="1" applyAlignment="1">
      <alignment horizontal="center" wrapText="1"/>
    </xf>
    <xf numFmtId="0" fontId="7" fillId="0" borderId="6" xfId="0" applyFont="1" applyBorder="1" applyAlignment="1">
      <alignment horizontal="center" wrapText="1"/>
    </xf>
    <xf numFmtId="0" fontId="7" fillId="4" borderId="0" xfId="0" applyFont="1" applyFill="1" applyAlignment="1">
      <alignment wrapText="1"/>
    </xf>
    <xf numFmtId="8" fontId="8" fillId="0" borderId="0" xfId="0" applyNumberFormat="1" applyFont="1" applyAlignment="1">
      <alignment wrapText="1"/>
    </xf>
    <xf numFmtId="0" fontId="10" fillId="0" borderId="5" xfId="0" applyFont="1" applyBorder="1" applyAlignment="1">
      <alignment horizontal="center" wrapText="1"/>
    </xf>
    <xf numFmtId="0" fontId="7" fillId="3" borderId="1" xfId="0" applyFont="1" applyFill="1" applyBorder="1" applyAlignment="1">
      <alignment horizontal="center" wrapText="1"/>
    </xf>
    <xf numFmtId="0" fontId="9" fillId="2" borderId="1" xfId="0" applyFont="1" applyFill="1" applyBorder="1" applyAlignment="1">
      <alignment horizontal="center" wrapText="1"/>
    </xf>
    <xf numFmtId="44" fontId="9" fillId="2" borderId="1" xfId="1" applyFont="1" applyFill="1" applyBorder="1" applyAlignment="1">
      <alignment horizontal="center" wrapText="1"/>
    </xf>
    <xf numFmtId="0" fontId="10" fillId="0" borderId="1" xfId="0" applyFont="1" applyBorder="1" applyAlignment="1">
      <alignment wrapText="1"/>
    </xf>
    <xf numFmtId="44" fontId="10" fillId="0" borderId="1" xfId="0" applyNumberFormat="1" applyFont="1" applyBorder="1" applyAlignment="1">
      <alignment horizontal="center" wrapText="1"/>
    </xf>
    <xf numFmtId="8" fontId="10" fillId="0" borderId="1" xfId="1" applyNumberFormat="1" applyFont="1" applyBorder="1" applyAlignment="1">
      <alignment horizontal="center" wrapText="1"/>
    </xf>
    <xf numFmtId="0" fontId="8" fillId="0" borderId="0" xfId="0" applyFont="1" applyAlignment="1">
      <alignment horizontal="center" wrapText="1"/>
    </xf>
    <xf numFmtId="44" fontId="10" fillId="0" borderId="1" xfId="1" applyFont="1" applyFill="1" applyBorder="1" applyAlignment="1">
      <alignment horizontal="center" wrapText="1"/>
    </xf>
    <xf numFmtId="44" fontId="10" fillId="0" borderId="13" xfId="1" applyFont="1" applyBorder="1" applyAlignment="1">
      <alignment horizontal="center" wrapText="1"/>
    </xf>
    <xf numFmtId="0" fontId="10" fillId="0" borderId="0" xfId="0" applyFont="1" applyAlignment="1">
      <alignment horizontal="left" wrapText="1"/>
    </xf>
    <xf numFmtId="44" fontId="10" fillId="0" borderId="0" xfId="1" applyFont="1" applyFill="1" applyBorder="1" applyAlignment="1">
      <alignment horizontal="center" wrapText="1"/>
    </xf>
    <xf numFmtId="0" fontId="10" fillId="0" borderId="9" xfId="0" applyFont="1" applyBorder="1" applyAlignment="1">
      <alignment wrapText="1"/>
    </xf>
    <xf numFmtId="0" fontId="10" fillId="0" borderId="1" xfId="0" applyFont="1" applyBorder="1" applyAlignment="1">
      <alignment horizontal="center" vertical="center" wrapText="1"/>
    </xf>
    <xf numFmtId="0" fontId="10" fillId="3" borderId="1" xfId="0" applyFont="1" applyFill="1" applyBorder="1" applyAlignment="1">
      <alignment horizontal="center" wrapText="1"/>
    </xf>
    <xf numFmtId="0" fontId="7" fillId="0" borderId="9" xfId="0" applyFont="1" applyBorder="1" applyAlignment="1">
      <alignment horizontal="center" wrapText="1"/>
    </xf>
    <xf numFmtId="0" fontId="10" fillId="0" borderId="11" xfId="0" applyFont="1" applyBorder="1" applyAlignment="1">
      <alignment horizontal="center" wrapText="1"/>
    </xf>
    <xf numFmtId="0" fontId="10" fillId="0" borderId="13" xfId="0" applyFont="1" applyBorder="1" applyAlignment="1">
      <alignment wrapText="1"/>
    </xf>
    <xf numFmtId="0" fontId="10" fillId="0" borderId="12" xfId="0" applyFont="1" applyBorder="1" applyAlignment="1">
      <alignment horizontal="center" wrapText="1"/>
    </xf>
    <xf numFmtId="0" fontId="10" fillId="0" borderId="12" xfId="0" applyFont="1" applyBorder="1" applyAlignment="1">
      <alignment wrapText="1"/>
    </xf>
    <xf numFmtId="44" fontId="10" fillId="0" borderId="1" xfId="1" applyFont="1" applyBorder="1" applyAlignment="1">
      <alignment wrapText="1"/>
    </xf>
    <xf numFmtId="44" fontId="10" fillId="0" borderId="1" xfId="1" applyFont="1" applyFill="1" applyBorder="1" applyAlignment="1">
      <alignment wrapText="1"/>
    </xf>
    <xf numFmtId="0" fontId="10" fillId="0" borderId="13" xfId="0" applyFont="1" applyBorder="1" applyAlignment="1">
      <alignment horizontal="center" wrapText="1"/>
    </xf>
    <xf numFmtId="0" fontId="9" fillId="0" borderId="3" xfId="0" applyFont="1" applyBorder="1" applyAlignment="1">
      <alignment horizontal="center" vertical="center" wrapText="1"/>
    </xf>
    <xf numFmtId="44" fontId="9" fillId="0" borderId="0" xfId="0" applyNumberFormat="1" applyFont="1" applyAlignment="1">
      <alignment wrapText="1"/>
    </xf>
    <xf numFmtId="0" fontId="12" fillId="2" borderId="1" xfId="0" applyFont="1" applyFill="1" applyBorder="1" applyAlignment="1">
      <alignment horizontal="center" wrapText="1"/>
    </xf>
    <xf numFmtId="0" fontId="11" fillId="0" borderId="1" xfId="0" applyFont="1" applyBorder="1" applyAlignment="1">
      <alignment horizontal="center" wrapText="1"/>
    </xf>
    <xf numFmtId="44" fontId="11" fillId="0" borderId="1" xfId="0" applyNumberFormat="1" applyFont="1" applyBorder="1" applyAlignment="1">
      <alignment horizontal="center" wrapText="1"/>
    </xf>
    <xf numFmtId="44" fontId="11" fillId="0" borderId="1" xfId="1" applyFont="1" applyBorder="1" applyAlignment="1">
      <alignment horizontal="center" wrapText="1"/>
    </xf>
    <xf numFmtId="0" fontId="11" fillId="0" borderId="1" xfId="0" applyFont="1" applyBorder="1" applyAlignment="1">
      <alignment wrapText="1"/>
    </xf>
    <xf numFmtId="0" fontId="11" fillId="0" borderId="0" xfId="0" applyFont="1" applyAlignment="1">
      <alignment wrapText="1"/>
    </xf>
    <xf numFmtId="0" fontId="11" fillId="0" borderId="0" xfId="0" applyFont="1" applyAlignment="1">
      <alignment horizontal="center" wrapText="1"/>
    </xf>
    <xf numFmtId="0" fontId="12" fillId="0" borderId="0" xfId="0" applyFont="1" applyAlignment="1">
      <alignment horizontal="center" wrapText="1"/>
    </xf>
    <xf numFmtId="0" fontId="11" fillId="0" borderId="1" xfId="0" applyFont="1" applyBorder="1" applyAlignment="1">
      <alignment horizontal="left" wrapText="1"/>
    </xf>
    <xf numFmtId="0" fontId="11" fillId="0" borderId="5" xfId="0" applyFont="1" applyBorder="1" applyAlignment="1">
      <alignment horizontal="center" wrapText="1"/>
    </xf>
    <xf numFmtId="44" fontId="11" fillId="0" borderId="5" xfId="1" applyFont="1" applyBorder="1" applyAlignment="1">
      <alignment horizontal="center" wrapText="1"/>
    </xf>
    <xf numFmtId="0" fontId="11" fillId="5" borderId="1" xfId="0" applyFont="1" applyFill="1" applyBorder="1" applyAlignment="1">
      <alignment horizontal="center" wrapText="1"/>
    </xf>
    <xf numFmtId="0" fontId="12" fillId="0" borderId="0" xfId="0" applyFont="1" applyAlignment="1">
      <alignment horizontal="center" vertical="center" wrapText="1"/>
    </xf>
    <xf numFmtId="0" fontId="12" fillId="0" borderId="1" xfId="0" applyFont="1" applyBorder="1" applyAlignment="1">
      <alignment horizontal="center" wrapText="1"/>
    </xf>
    <xf numFmtId="0" fontId="11" fillId="0" borderId="7" xfId="0" applyFont="1" applyBorder="1" applyAlignment="1">
      <alignment horizontal="left" wrapText="1"/>
    </xf>
    <xf numFmtId="0" fontId="13" fillId="0" borderId="0" xfId="0" applyFont="1" applyAlignment="1">
      <alignment horizontal="center" vertical="center" wrapText="1"/>
    </xf>
    <xf numFmtId="0" fontId="12" fillId="2" borderId="7" xfId="0" applyFont="1" applyFill="1" applyBorder="1" applyAlignment="1">
      <alignment horizontal="center" wrapText="1"/>
    </xf>
    <xf numFmtId="44" fontId="12" fillId="2" borderId="7" xfId="1" applyFont="1" applyFill="1" applyBorder="1" applyAlignment="1">
      <alignment horizontal="center" wrapText="1"/>
    </xf>
    <xf numFmtId="0" fontId="11" fillId="2" borderId="7" xfId="0" applyFont="1" applyFill="1" applyBorder="1" applyAlignment="1">
      <alignment horizontal="center" wrapText="1"/>
    </xf>
    <xf numFmtId="0" fontId="11" fillId="0" borderId="13" xfId="0" applyFont="1" applyBorder="1" applyAlignment="1">
      <alignment wrapText="1"/>
    </xf>
    <xf numFmtId="0" fontId="14" fillId="0" borderId="1" xfId="0" applyFont="1" applyBorder="1" applyAlignment="1">
      <alignment horizontal="center" wrapText="1"/>
    </xf>
    <xf numFmtId="44" fontId="14" fillId="0" borderId="1" xfId="1" applyFont="1" applyFill="1" applyBorder="1" applyAlignment="1">
      <alignment horizontal="center" wrapText="1"/>
    </xf>
    <xf numFmtId="0" fontId="14" fillId="0" borderId="0" xfId="0" applyFont="1" applyAlignment="1">
      <alignment wrapText="1"/>
    </xf>
    <xf numFmtId="0" fontId="13" fillId="0" borderId="0" xfId="0" applyFont="1" applyAlignment="1">
      <alignment horizontal="center" wrapText="1"/>
    </xf>
    <xf numFmtId="44" fontId="11" fillId="0" borderId="0" xfId="1" applyFont="1" applyAlignment="1">
      <alignment horizontal="center" wrapText="1"/>
    </xf>
    <xf numFmtId="0" fontId="11" fillId="0" borderId="10" xfId="0" applyFont="1" applyBorder="1" applyAlignment="1">
      <alignment horizontal="center" wrapText="1"/>
    </xf>
    <xf numFmtId="44" fontId="11" fillId="0" borderId="1" xfId="1" applyFont="1" applyBorder="1" applyAlignment="1">
      <alignment horizontal="left" wrapText="1"/>
    </xf>
    <xf numFmtId="0" fontId="11" fillId="0" borderId="1" xfId="0" applyFont="1" applyBorder="1" applyAlignment="1">
      <alignment horizontal="center" vertical="center" wrapText="1"/>
    </xf>
    <xf numFmtId="44" fontId="12" fillId="0" borderId="0" xfId="0" applyNumberFormat="1" applyFont="1" applyAlignment="1">
      <alignment wrapText="1"/>
    </xf>
    <xf numFmtId="0" fontId="11" fillId="0" borderId="7" xfId="0" applyFont="1" applyBorder="1" applyAlignment="1">
      <alignment horizontal="center" wrapText="1"/>
    </xf>
    <xf numFmtId="0" fontId="11" fillId="0" borderId="9" xfId="0" applyFont="1" applyBorder="1" applyAlignment="1">
      <alignment horizontal="left" wrapText="1"/>
    </xf>
    <xf numFmtId="0" fontId="11" fillId="0" borderId="9" xfId="0" applyFont="1" applyBorder="1" applyAlignment="1">
      <alignment horizontal="center" wrapText="1"/>
    </xf>
    <xf numFmtId="44" fontId="11" fillId="0" borderId="9" xfId="1" applyFont="1" applyFill="1" applyBorder="1" applyAlignment="1">
      <alignment horizontal="left" wrapText="1"/>
    </xf>
    <xf numFmtId="0" fontId="15" fillId="0" borderId="1" xfId="2" applyFont="1" applyBorder="1" applyAlignment="1">
      <alignment horizontal="center" wrapText="1"/>
    </xf>
    <xf numFmtId="0" fontId="14" fillId="5" borderId="1" xfId="0" applyFont="1" applyFill="1" applyBorder="1" applyAlignment="1">
      <alignment horizontal="center" wrapText="1"/>
    </xf>
    <xf numFmtId="14" fontId="10" fillId="0" borderId="1" xfId="0" applyNumberFormat="1" applyFont="1" applyBorder="1" applyAlignment="1">
      <alignment horizontal="center" wrapText="1"/>
    </xf>
    <xf numFmtId="44" fontId="7" fillId="7" borderId="1" xfId="1" applyFont="1" applyFill="1" applyBorder="1" applyAlignment="1">
      <alignment horizontal="center" wrapText="1"/>
    </xf>
    <xf numFmtId="164" fontId="10" fillId="0" borderId="1" xfId="4" applyNumberFormat="1" applyFont="1" applyBorder="1" applyAlignment="1">
      <alignment horizontal="center" wrapText="1"/>
    </xf>
    <xf numFmtId="0" fontId="2" fillId="0" borderId="7" xfId="0" applyFont="1" applyBorder="1" applyAlignment="1">
      <alignment horizontal="center" wrapText="1"/>
    </xf>
    <xf numFmtId="0" fontId="2" fillId="0" borderId="5" xfId="0" applyFont="1" applyBorder="1" applyAlignment="1">
      <alignment horizontal="center" wrapText="1"/>
    </xf>
    <xf numFmtId="0" fontId="14" fillId="6" borderId="1" xfId="0" applyFont="1" applyFill="1" applyBorder="1" applyAlignment="1">
      <alignment horizontal="center" wrapText="1"/>
    </xf>
    <xf numFmtId="0" fontId="7" fillId="5" borderId="1" xfId="0" applyFont="1" applyFill="1" applyBorder="1" applyAlignment="1">
      <alignment horizontal="center" wrapText="1"/>
    </xf>
    <xf numFmtId="0" fontId="11" fillId="5" borderId="7" xfId="0" applyFont="1" applyFill="1" applyBorder="1" applyAlignment="1">
      <alignment horizontal="center" wrapText="1"/>
    </xf>
    <xf numFmtId="0" fontId="11" fillId="5" borderId="5" xfId="0" applyFont="1" applyFill="1" applyBorder="1" applyAlignment="1">
      <alignment horizontal="center" wrapText="1"/>
    </xf>
    <xf numFmtId="0" fontId="11" fillId="4" borderId="1" xfId="0" applyFont="1" applyFill="1" applyBorder="1" applyAlignment="1">
      <alignment wrapText="1"/>
    </xf>
    <xf numFmtId="0" fontId="11" fillId="0" borderId="1" xfId="1" applyNumberFormat="1" applyFont="1" applyBorder="1" applyAlignment="1">
      <alignment horizontal="center" wrapText="1"/>
    </xf>
    <xf numFmtId="44" fontId="11" fillId="0" borderId="7" xfId="1" applyFont="1" applyBorder="1" applyAlignment="1">
      <alignment horizontal="center" wrapText="1"/>
    </xf>
    <xf numFmtId="0" fontId="8" fillId="0" borderId="11" xfId="0" applyFont="1" applyBorder="1" applyAlignment="1">
      <alignment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11" fillId="0" borderId="9" xfId="0" applyFont="1" applyBorder="1" applyAlignment="1">
      <alignment wrapText="1"/>
    </xf>
    <xf numFmtId="44" fontId="11" fillId="0" borderId="9" xfId="1" applyFont="1" applyBorder="1" applyAlignment="1">
      <alignment horizontal="center" wrapText="1"/>
    </xf>
    <xf numFmtId="0" fontId="11" fillId="4" borderId="7" xfId="0" applyFont="1" applyFill="1" applyBorder="1" applyAlignment="1">
      <alignment wrapText="1"/>
    </xf>
    <xf numFmtId="44" fontId="11" fillId="0" borderId="0" xfId="1" applyFont="1" applyAlignment="1">
      <alignment wrapText="1"/>
    </xf>
    <xf numFmtId="0" fontId="19" fillId="0" borderId="0" xfId="0" applyFont="1" applyAlignment="1">
      <alignment vertical="center" wrapText="1"/>
    </xf>
    <xf numFmtId="0" fontId="0" fillId="0" borderId="0" xfId="0" applyAlignment="1">
      <alignment vertical="center" wrapText="1"/>
    </xf>
    <xf numFmtId="44" fontId="11" fillId="0" borderId="0" xfId="0" applyNumberFormat="1" applyFont="1" applyAlignment="1">
      <alignment wrapText="1"/>
    </xf>
    <xf numFmtId="44" fontId="10" fillId="0" borderId="12" xfId="1" applyFont="1" applyBorder="1" applyAlignment="1">
      <alignment horizontal="center" wrapText="1"/>
    </xf>
    <xf numFmtId="44" fontId="10" fillId="0" borderId="12" xfId="1" applyFont="1" applyFill="1" applyBorder="1" applyAlignment="1">
      <alignment horizontal="center" wrapText="1"/>
    </xf>
    <xf numFmtId="0" fontId="10" fillId="0" borderId="12" xfId="0" applyFont="1" applyBorder="1" applyAlignment="1">
      <alignment horizontal="left" wrapText="1"/>
    </xf>
    <xf numFmtId="49" fontId="10" fillId="0" borderId="1" xfId="0" applyNumberFormat="1" applyFont="1" applyBorder="1" applyAlignment="1">
      <alignment horizontal="center" wrapText="1"/>
    </xf>
    <xf numFmtId="0" fontId="10" fillId="0" borderId="1" xfId="0" applyFont="1" applyBorder="1" applyAlignment="1">
      <alignment horizontal="left" wrapText="1"/>
    </xf>
    <xf numFmtId="0" fontId="20" fillId="0" borderId="0" xfId="0" applyFont="1" applyAlignment="1">
      <alignment horizontal="center" wrapText="1"/>
    </xf>
    <xf numFmtId="0" fontId="2" fillId="0" borderId="1" xfId="0" applyFont="1" applyBorder="1" applyAlignment="1">
      <alignment wrapText="1"/>
    </xf>
    <xf numFmtId="0" fontId="2" fillId="0" borderId="0" xfId="0" applyFont="1" applyAlignment="1">
      <alignment wrapText="1"/>
    </xf>
    <xf numFmtId="0" fontId="2" fillId="0" borderId="0" xfId="0" applyFont="1" applyAlignment="1">
      <alignment horizontal="center" wrapText="1"/>
    </xf>
    <xf numFmtId="0" fontId="21" fillId="0" borderId="0" xfId="0" applyFont="1" applyAlignment="1">
      <alignment horizontal="center" wrapText="1"/>
    </xf>
    <xf numFmtId="44" fontId="2" fillId="0" borderId="13" xfId="1" applyFont="1" applyBorder="1" applyAlignment="1">
      <alignment horizontal="center" wrapText="1"/>
    </xf>
    <xf numFmtId="0" fontId="2" fillId="5" borderId="1" xfId="0" applyFont="1" applyFill="1" applyBorder="1" applyAlignment="1">
      <alignment horizontal="center" wrapText="1"/>
    </xf>
    <xf numFmtId="0" fontId="7" fillId="8" borderId="1" xfId="0" applyFont="1" applyFill="1" applyBorder="1" applyAlignment="1">
      <alignment wrapText="1"/>
    </xf>
    <xf numFmtId="44" fontId="7" fillId="7" borderId="1" xfId="1" applyFont="1" applyFill="1" applyBorder="1" applyAlignment="1">
      <alignment wrapText="1"/>
    </xf>
    <xf numFmtId="44" fontId="11" fillId="7" borderId="1" xfId="1" applyFont="1" applyFill="1" applyBorder="1" applyAlignment="1">
      <alignment horizontal="center" wrapText="1"/>
    </xf>
    <xf numFmtId="0" fontId="7" fillId="0" borderId="2" xfId="0" applyFont="1" applyBorder="1" applyAlignment="1">
      <alignment horizontal="center" wrapText="1"/>
    </xf>
    <xf numFmtId="0" fontId="7" fillId="0" borderId="4" xfId="0" applyFont="1" applyBorder="1" applyAlignment="1">
      <alignment horizontal="center" wrapText="1"/>
    </xf>
  </cellXfs>
  <cellStyles count="5">
    <cellStyle name="Currency" xfId="1" builtinId="4"/>
    <cellStyle name="Hyperlink" xfId="2" builtinId="8"/>
    <cellStyle name="Normal" xfId="0" builtinId="0"/>
    <cellStyle name="Normal_Transfer" xfId="3" xr:uid="{1579486D-3C13-476F-B93B-CB1823B680EE}"/>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AC94-D836-4B21-866C-07BD6EF6ECAB}">
  <dimension ref="A1:A5"/>
  <sheetViews>
    <sheetView showGridLines="0" workbookViewId="0">
      <selection activeCell="D3" sqref="D3"/>
    </sheetView>
  </sheetViews>
  <sheetFormatPr defaultRowHeight="15"/>
  <cols>
    <col min="1" max="1" width="79.140625" customWidth="1"/>
  </cols>
  <sheetData>
    <row r="1" spans="1:1">
      <c r="A1" s="139" t="s">
        <v>2455</v>
      </c>
    </row>
    <row r="2" spans="1:1" ht="108" customHeight="1">
      <c r="A2" s="140" t="s">
        <v>2459</v>
      </c>
    </row>
    <row r="3" spans="1:1" ht="134.25" customHeight="1">
      <c r="A3" s="140" t="s">
        <v>2456</v>
      </c>
    </row>
    <row r="4" spans="1:1" ht="118.5" customHeight="1">
      <c r="A4" s="140" t="s">
        <v>2457</v>
      </c>
    </row>
    <row r="5" spans="1:1" ht="30">
      <c r="A5" s="140" t="s">
        <v>2458</v>
      </c>
    </row>
  </sheetData>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4581-95CD-44B8-8054-CFCF5FA8F1FC}">
  <sheetPr>
    <pageSetUpPr fitToPage="1"/>
  </sheetPr>
  <dimension ref="A1:BG271"/>
  <sheetViews>
    <sheetView zoomScale="70" zoomScaleNormal="70" workbookViewId="0">
      <pane ySplit="1" topLeftCell="A238" activePane="bottomLeft" state="frozen"/>
      <selection pane="bottomLeft" activeCell="N271" sqref="N271"/>
    </sheetView>
  </sheetViews>
  <sheetFormatPr defaultColWidth="8.85546875" defaultRowHeight="15.75"/>
  <cols>
    <col min="1" max="1" width="20.85546875" style="38" customWidth="1"/>
    <col min="2" max="2" width="32.140625" style="11" customWidth="1"/>
    <col min="3" max="3" width="39.7109375" style="23" customWidth="1"/>
    <col min="4" max="4" width="17.42578125" style="20" customWidth="1"/>
    <col min="5" max="5" width="89.140625" style="20" customWidth="1"/>
    <col min="6" max="6" width="8.7109375" style="20" customWidth="1"/>
    <col min="7" max="7" width="16.5703125" style="20" customWidth="1"/>
    <col min="8" max="8" width="23.140625" style="20" customWidth="1"/>
    <col min="9" max="9" width="29.85546875" style="20" customWidth="1"/>
    <col min="10" max="10" width="14.7109375" style="23" customWidth="1"/>
    <col min="11" max="11" width="13.28515625" style="23" customWidth="1"/>
    <col min="12" max="12" width="11.7109375" style="23" customWidth="1"/>
    <col min="13" max="13" width="19.42578125" style="23" customWidth="1"/>
    <col min="14" max="14" width="20.5703125" style="23" customWidth="1"/>
    <col min="15" max="15" width="19" style="20" customWidth="1"/>
    <col min="16" max="16384" width="8.85546875" style="23"/>
  </cols>
  <sheetData>
    <row r="1" spans="1:15" ht="31.5">
      <c r="A1" s="62" t="s">
        <v>0</v>
      </c>
      <c r="B1" s="3" t="s">
        <v>1</v>
      </c>
      <c r="C1" s="62" t="s">
        <v>2</v>
      </c>
      <c r="D1" s="62" t="s">
        <v>2100</v>
      </c>
      <c r="E1" s="62" t="s">
        <v>3</v>
      </c>
      <c r="F1" s="62"/>
      <c r="G1" s="62" t="s">
        <v>4</v>
      </c>
      <c r="H1" s="62" t="s">
        <v>5</v>
      </c>
      <c r="I1" s="62" t="s">
        <v>6</v>
      </c>
      <c r="J1" s="62" t="s">
        <v>7</v>
      </c>
      <c r="K1" s="62" t="s">
        <v>9</v>
      </c>
      <c r="L1" s="62" t="s">
        <v>10</v>
      </c>
      <c r="M1" s="63" t="s">
        <v>11</v>
      </c>
      <c r="N1" s="63" t="s">
        <v>12</v>
      </c>
      <c r="O1" s="62" t="s">
        <v>13</v>
      </c>
    </row>
    <row r="2" spans="1:15">
      <c r="A2" s="38" t="s">
        <v>26</v>
      </c>
      <c r="B2" s="74" t="s">
        <v>2434</v>
      </c>
      <c r="C2" s="21" t="s">
        <v>14</v>
      </c>
      <c r="D2" s="21">
        <v>1</v>
      </c>
      <c r="E2" s="21" t="s">
        <v>2134</v>
      </c>
      <c r="F2" s="21">
        <f>IF(G2="fair",0.5,0)+IF(G2="good",0.75,0)+IF(G2="poor",0.25,0)+IF(G2="like new",0.9,0)+IF(G2="new",1,0)</f>
        <v>0.75</v>
      </c>
      <c r="G2" s="21" t="s">
        <v>17</v>
      </c>
      <c r="H2" s="21" t="s">
        <v>2135</v>
      </c>
      <c r="I2" s="21"/>
      <c r="J2" s="21"/>
      <c r="K2" s="21"/>
      <c r="L2" s="21"/>
      <c r="M2" s="22">
        <v>1105</v>
      </c>
      <c r="N2" s="22">
        <f>F2*M2</f>
        <v>828.75</v>
      </c>
      <c r="O2" s="120">
        <v>41453</v>
      </c>
    </row>
    <row r="3" spans="1:15">
      <c r="A3" s="38" t="s">
        <v>26</v>
      </c>
      <c r="B3" s="74" t="s">
        <v>2434</v>
      </c>
      <c r="C3" s="21" t="s">
        <v>14</v>
      </c>
      <c r="D3" s="21">
        <v>1</v>
      </c>
      <c r="E3" s="21" t="s">
        <v>2134</v>
      </c>
      <c r="F3" s="21">
        <f t="shared" ref="F3:F10" si="0">IF(G3="fair",0.5,0)+IF(G3="good",0.75,0)+IF(G3="poor",0.25,0)+IF(G3="like new",0.9,0)+IF(G3="new",1,0)</f>
        <v>0.75</v>
      </c>
      <c r="G3" s="21" t="s">
        <v>17</v>
      </c>
      <c r="H3" s="21" t="s">
        <v>2135</v>
      </c>
      <c r="I3" s="21"/>
      <c r="J3" s="21"/>
      <c r="K3" s="21"/>
      <c r="L3" s="21"/>
      <c r="M3" s="22">
        <v>810</v>
      </c>
      <c r="N3" s="22">
        <f>F3*M3</f>
        <v>607.5</v>
      </c>
      <c r="O3" s="120">
        <v>41453</v>
      </c>
    </row>
    <row r="4" spans="1:15">
      <c r="A4" s="38" t="s">
        <v>26</v>
      </c>
      <c r="B4" s="74" t="s">
        <v>2434</v>
      </c>
      <c r="C4" s="21" t="s">
        <v>14</v>
      </c>
      <c r="D4" s="21">
        <v>1</v>
      </c>
      <c r="E4" s="21" t="s">
        <v>2134</v>
      </c>
      <c r="F4" s="21">
        <f t="shared" si="0"/>
        <v>0.75</v>
      </c>
      <c r="G4" s="21" t="s">
        <v>17</v>
      </c>
      <c r="H4" s="21" t="s">
        <v>2135</v>
      </c>
      <c r="I4" s="21"/>
      <c r="J4" s="21"/>
      <c r="K4" s="21"/>
      <c r="L4" s="22"/>
      <c r="M4" s="22">
        <v>378</v>
      </c>
      <c r="N4" s="22">
        <f>F4*M4</f>
        <v>283.5</v>
      </c>
      <c r="O4" s="120">
        <v>39661</v>
      </c>
    </row>
    <row r="5" spans="1:15">
      <c r="A5" s="38" t="s">
        <v>26</v>
      </c>
      <c r="B5" s="74" t="s">
        <v>591</v>
      </c>
      <c r="C5" s="21" t="s">
        <v>95</v>
      </c>
      <c r="D5" s="21">
        <v>2</v>
      </c>
      <c r="E5" s="21" t="s">
        <v>2470</v>
      </c>
      <c r="F5" s="21">
        <f t="shared" si="0"/>
        <v>0.75</v>
      </c>
      <c r="G5" s="21" t="s">
        <v>17</v>
      </c>
      <c r="H5" s="21"/>
      <c r="I5" s="21"/>
      <c r="J5" s="21"/>
      <c r="K5" s="21"/>
      <c r="L5" s="21"/>
      <c r="M5" s="22">
        <f>250*2</f>
        <v>500</v>
      </c>
      <c r="N5" s="22">
        <f>F5*M5</f>
        <v>375</v>
      </c>
      <c r="O5" s="120"/>
    </row>
    <row r="6" spans="1:15" ht="18" customHeight="1">
      <c r="A6" s="38" t="s">
        <v>26</v>
      </c>
      <c r="B6" s="61" t="s">
        <v>1992</v>
      </c>
      <c r="C6" s="21" t="s">
        <v>2057</v>
      </c>
      <c r="D6" s="21">
        <v>1</v>
      </c>
      <c r="E6" s="21" t="s">
        <v>15</v>
      </c>
      <c r="F6" s="21">
        <f t="shared" si="0"/>
        <v>0.75</v>
      </c>
      <c r="G6" s="21" t="s">
        <v>17</v>
      </c>
      <c r="H6" s="21" t="s">
        <v>18</v>
      </c>
      <c r="I6" s="21" t="s">
        <v>19</v>
      </c>
      <c r="J6" s="21">
        <v>40500258</v>
      </c>
      <c r="K6" s="21"/>
      <c r="L6" s="21"/>
      <c r="M6" s="22">
        <v>400</v>
      </c>
      <c r="N6" s="22">
        <f>M6*F6</f>
        <v>300</v>
      </c>
      <c r="O6" s="21"/>
    </row>
    <row r="7" spans="1:15">
      <c r="A7" s="38" t="s">
        <v>26</v>
      </c>
      <c r="B7" s="61" t="s">
        <v>1993</v>
      </c>
      <c r="C7" s="21" t="s">
        <v>2161</v>
      </c>
      <c r="D7" s="21">
        <v>1</v>
      </c>
      <c r="E7" s="21" t="s">
        <v>2136</v>
      </c>
      <c r="F7" s="21">
        <f t="shared" si="0"/>
        <v>0.5</v>
      </c>
      <c r="G7" s="21" t="s">
        <v>21</v>
      </c>
      <c r="H7" s="21"/>
      <c r="I7" s="21"/>
      <c r="J7" s="21"/>
      <c r="K7" s="21"/>
      <c r="L7" s="21"/>
      <c r="M7" s="22">
        <f>1000*2</f>
        <v>2000</v>
      </c>
      <c r="N7" s="22">
        <f>F7*M7</f>
        <v>1000</v>
      </c>
      <c r="O7" s="21"/>
    </row>
    <row r="8" spans="1:15">
      <c r="A8" s="38" t="s">
        <v>26</v>
      </c>
      <c r="B8" s="61" t="s">
        <v>1994</v>
      </c>
      <c r="C8" s="21" t="s">
        <v>2059</v>
      </c>
      <c r="D8" s="21">
        <v>1</v>
      </c>
      <c r="E8" s="21" t="s">
        <v>22</v>
      </c>
      <c r="F8" s="21">
        <f t="shared" si="0"/>
        <v>0.75</v>
      </c>
      <c r="G8" s="21" t="s">
        <v>17</v>
      </c>
      <c r="H8" s="21"/>
      <c r="I8" s="21"/>
      <c r="J8" s="21"/>
      <c r="K8" s="21"/>
      <c r="L8" s="21"/>
      <c r="M8" s="22">
        <v>4000</v>
      </c>
      <c r="N8" s="22">
        <f>F8*M8</f>
        <v>3000</v>
      </c>
      <c r="O8" s="21"/>
    </row>
    <row r="9" spans="1:15">
      <c r="A9" s="38" t="s">
        <v>26</v>
      </c>
      <c r="B9" s="61" t="s">
        <v>1995</v>
      </c>
      <c r="C9" s="21" t="s">
        <v>2057</v>
      </c>
      <c r="D9" s="21">
        <v>1</v>
      </c>
      <c r="E9" s="21" t="s">
        <v>23</v>
      </c>
      <c r="F9" s="21">
        <f t="shared" si="0"/>
        <v>0.75</v>
      </c>
      <c r="G9" s="21" t="s">
        <v>17</v>
      </c>
      <c r="H9" s="21"/>
      <c r="I9" s="21"/>
      <c r="J9" s="21"/>
      <c r="K9" s="21"/>
      <c r="L9" s="21"/>
      <c r="M9" s="22">
        <v>1500</v>
      </c>
      <c r="N9" s="22">
        <f>F9*M9</f>
        <v>1125</v>
      </c>
      <c r="O9" s="21">
        <v>2014</v>
      </c>
    </row>
    <row r="10" spans="1:15">
      <c r="A10" s="38" t="s">
        <v>26</v>
      </c>
      <c r="B10" s="61" t="s">
        <v>24</v>
      </c>
      <c r="C10" s="21" t="s">
        <v>2161</v>
      </c>
      <c r="D10" s="21">
        <v>4</v>
      </c>
      <c r="E10" s="21" t="s">
        <v>25</v>
      </c>
      <c r="F10" s="21">
        <f t="shared" si="0"/>
        <v>0.75</v>
      </c>
      <c r="G10" s="21" t="s">
        <v>17</v>
      </c>
      <c r="H10" s="21"/>
      <c r="I10" s="21"/>
      <c r="J10" s="21"/>
      <c r="K10" s="21"/>
      <c r="L10" s="21"/>
      <c r="M10" s="65"/>
      <c r="N10" s="22"/>
      <c r="O10" s="21"/>
    </row>
    <row r="12" spans="1:15">
      <c r="A12" s="38" t="s">
        <v>84</v>
      </c>
      <c r="B12" s="61" t="s">
        <v>85</v>
      </c>
      <c r="C12" s="21" t="s">
        <v>2161</v>
      </c>
      <c r="D12" s="21">
        <v>1</v>
      </c>
      <c r="E12" s="21" t="s">
        <v>2137</v>
      </c>
      <c r="F12" s="21">
        <f t="shared" ref="F12:F21" si="1">IF(G12="fair",0.5,0)+IF(G12="good",0.75,0)+IF(G12="poor",0.25,0)+IF(G12="like new",0.9,0)+IF(G12="new",1,0)</f>
        <v>0.75</v>
      </c>
      <c r="G12" s="21" t="s">
        <v>17</v>
      </c>
      <c r="H12" s="21"/>
      <c r="I12" s="21"/>
      <c r="J12" s="21"/>
      <c r="K12" s="21"/>
      <c r="L12" s="21"/>
      <c r="M12" s="22">
        <v>100</v>
      </c>
      <c r="N12" s="22">
        <f>F12*M12</f>
        <v>75</v>
      </c>
      <c r="O12" s="21"/>
    </row>
    <row r="13" spans="1:15">
      <c r="A13" s="38" t="s">
        <v>84</v>
      </c>
      <c r="B13" s="61" t="s">
        <v>86</v>
      </c>
      <c r="C13" s="21" t="s">
        <v>2161</v>
      </c>
      <c r="D13" s="21">
        <v>1</v>
      </c>
      <c r="E13" s="21" t="s">
        <v>87</v>
      </c>
      <c r="F13" s="21">
        <f t="shared" si="1"/>
        <v>0.5</v>
      </c>
      <c r="G13" s="21" t="s">
        <v>21</v>
      </c>
      <c r="H13" s="21"/>
      <c r="I13" s="21"/>
      <c r="J13" s="21"/>
      <c r="K13" s="21"/>
      <c r="L13" s="21"/>
      <c r="M13" s="22">
        <v>520</v>
      </c>
      <c r="N13" s="22">
        <f>F13*M13</f>
        <v>260</v>
      </c>
      <c r="O13" s="21">
        <v>2015</v>
      </c>
    </row>
    <row r="14" spans="1:15">
      <c r="A14" s="38" t="s">
        <v>84</v>
      </c>
      <c r="B14" s="61" t="s">
        <v>2466</v>
      </c>
      <c r="C14" s="21" t="s">
        <v>2464</v>
      </c>
      <c r="D14" s="21">
        <v>1</v>
      </c>
      <c r="E14" s="21" t="s">
        <v>2467</v>
      </c>
      <c r="F14" s="21">
        <f t="shared" si="1"/>
        <v>0.5</v>
      </c>
      <c r="G14" s="21" t="s">
        <v>21</v>
      </c>
      <c r="H14" s="21"/>
      <c r="I14" s="21"/>
      <c r="J14" s="21"/>
      <c r="K14" s="21"/>
      <c r="L14" s="21"/>
      <c r="M14" s="22">
        <v>117</v>
      </c>
      <c r="N14" s="22">
        <f>F14*M14</f>
        <v>58.5</v>
      </c>
      <c r="O14" s="21"/>
    </row>
    <row r="15" spans="1:15">
      <c r="A15" s="38" t="s">
        <v>84</v>
      </c>
      <c r="B15" s="61" t="s">
        <v>88</v>
      </c>
      <c r="C15" s="21" t="s">
        <v>2161</v>
      </c>
      <c r="D15" s="21">
        <v>1</v>
      </c>
      <c r="E15" s="21" t="s">
        <v>89</v>
      </c>
      <c r="F15" s="21">
        <f t="shared" si="1"/>
        <v>0.75</v>
      </c>
      <c r="G15" s="21" t="s">
        <v>17</v>
      </c>
      <c r="H15" s="21"/>
      <c r="I15" s="21"/>
      <c r="J15" s="21"/>
      <c r="K15" s="21"/>
      <c r="L15" s="21"/>
      <c r="M15" s="22">
        <v>200</v>
      </c>
      <c r="N15" s="22">
        <f>F15*M15</f>
        <v>150</v>
      </c>
      <c r="O15" s="21"/>
    </row>
    <row r="16" spans="1:15">
      <c r="F16" s="76"/>
    </row>
    <row r="17" spans="1:15">
      <c r="A17" s="38" t="s">
        <v>100</v>
      </c>
      <c r="B17" s="61" t="s">
        <v>1996</v>
      </c>
      <c r="C17" s="21" t="s">
        <v>2161</v>
      </c>
      <c r="D17" s="21">
        <v>1</v>
      </c>
      <c r="E17" s="21" t="s">
        <v>96</v>
      </c>
      <c r="F17" s="21">
        <f t="shared" si="1"/>
        <v>0.75</v>
      </c>
      <c r="G17" s="21" t="s">
        <v>17</v>
      </c>
      <c r="H17" s="21"/>
      <c r="I17" s="21"/>
      <c r="J17" s="21"/>
      <c r="K17" s="21">
        <v>3</v>
      </c>
      <c r="L17" s="21">
        <v>1.5</v>
      </c>
      <c r="M17" s="22">
        <v>130</v>
      </c>
      <c r="N17" s="22">
        <f>F17*M17</f>
        <v>97.5</v>
      </c>
      <c r="O17" s="21"/>
    </row>
    <row r="18" spans="1:15">
      <c r="A18" s="38" t="s">
        <v>100</v>
      </c>
      <c r="B18" s="61" t="s">
        <v>101</v>
      </c>
      <c r="C18" s="21" t="s">
        <v>2057</v>
      </c>
      <c r="D18" s="21">
        <v>1</v>
      </c>
      <c r="E18" s="21" t="s">
        <v>97</v>
      </c>
      <c r="F18" s="21">
        <f t="shared" si="1"/>
        <v>0.75</v>
      </c>
      <c r="G18" s="21" t="s">
        <v>17</v>
      </c>
      <c r="H18" s="21"/>
      <c r="I18" s="21"/>
      <c r="J18" s="21"/>
      <c r="K18" s="21"/>
      <c r="L18" s="21"/>
      <c r="M18" s="22">
        <v>500</v>
      </c>
      <c r="N18" s="22">
        <f>F18*M18</f>
        <v>375</v>
      </c>
      <c r="O18" s="21"/>
    </row>
    <row r="19" spans="1:15">
      <c r="A19" s="38" t="s">
        <v>100</v>
      </c>
      <c r="B19" s="61" t="s">
        <v>98</v>
      </c>
      <c r="C19" s="21" t="s">
        <v>2161</v>
      </c>
      <c r="D19" s="21">
        <v>1</v>
      </c>
      <c r="E19" s="21" t="s">
        <v>99</v>
      </c>
      <c r="F19" s="21">
        <f t="shared" si="1"/>
        <v>0.5</v>
      </c>
      <c r="G19" s="21" t="s">
        <v>21</v>
      </c>
      <c r="H19" s="21"/>
      <c r="I19" s="21"/>
      <c r="J19" s="21"/>
      <c r="K19" s="21">
        <v>1.5</v>
      </c>
      <c r="L19" s="21">
        <v>1.5</v>
      </c>
      <c r="M19" s="22">
        <v>100</v>
      </c>
      <c r="N19" s="22">
        <f>F19*M19</f>
        <v>50</v>
      </c>
      <c r="O19" s="21"/>
    </row>
    <row r="20" spans="1:15" ht="59.25" customHeight="1">
      <c r="A20" s="38" t="s">
        <v>100</v>
      </c>
      <c r="B20" s="61" t="s">
        <v>119</v>
      </c>
      <c r="C20" s="21" t="s">
        <v>2058</v>
      </c>
      <c r="D20" s="21">
        <v>1</v>
      </c>
      <c r="E20" s="21" t="s">
        <v>2138</v>
      </c>
      <c r="F20" s="21">
        <f t="shared" si="1"/>
        <v>0.75</v>
      </c>
      <c r="G20" s="21" t="s">
        <v>17</v>
      </c>
      <c r="H20" s="21" t="s">
        <v>121</v>
      </c>
      <c r="I20" s="21" t="s">
        <v>122</v>
      </c>
      <c r="J20" s="21"/>
      <c r="K20" s="21">
        <v>5</v>
      </c>
      <c r="L20" s="21">
        <v>2</v>
      </c>
      <c r="M20" s="66">
        <v>2179</v>
      </c>
      <c r="N20" s="22">
        <f>F20*M20</f>
        <v>1634.25</v>
      </c>
      <c r="O20" s="21"/>
    </row>
    <row r="21" spans="1:15">
      <c r="A21" s="38" t="s">
        <v>100</v>
      </c>
      <c r="B21" s="61" t="s">
        <v>1997</v>
      </c>
      <c r="C21" s="21" t="s">
        <v>2058</v>
      </c>
      <c r="D21" s="21">
        <v>1</v>
      </c>
      <c r="E21" s="21" t="s">
        <v>123</v>
      </c>
      <c r="F21" s="21">
        <f t="shared" si="1"/>
        <v>0.5</v>
      </c>
      <c r="G21" s="21" t="s">
        <v>21</v>
      </c>
      <c r="H21" s="21" t="s">
        <v>124</v>
      </c>
      <c r="I21" s="21"/>
      <c r="J21" s="21"/>
      <c r="K21" s="21"/>
      <c r="L21" s="21"/>
      <c r="M21" s="22">
        <v>10000</v>
      </c>
      <c r="N21" s="22">
        <f>F21*M21</f>
        <v>5000</v>
      </c>
      <c r="O21" s="21">
        <v>2014</v>
      </c>
    </row>
    <row r="23" spans="1:15" ht="18" customHeight="1">
      <c r="A23" s="38" t="s">
        <v>152</v>
      </c>
      <c r="B23" s="61" t="s">
        <v>243</v>
      </c>
      <c r="C23" s="21" t="s">
        <v>2161</v>
      </c>
      <c r="D23" s="21">
        <v>1</v>
      </c>
      <c r="E23" s="21" t="s">
        <v>244</v>
      </c>
      <c r="F23" s="21">
        <f t="shared" ref="F23:F65" si="2">IF(G23="fair",0.5,0)+IF(G23="good",0.75,0)+IF(G23="poor",0.25,0)+IF(G23="like new",0.9,0)+IF(G23="new",1,0)</f>
        <v>0.75</v>
      </c>
      <c r="G23" s="21" t="s">
        <v>17</v>
      </c>
      <c r="H23" s="21"/>
      <c r="I23" s="21"/>
      <c r="J23" s="21"/>
      <c r="K23" s="21"/>
      <c r="L23" s="21"/>
      <c r="M23" s="22">
        <v>2000</v>
      </c>
      <c r="N23" s="22">
        <f t="shared" ref="N23:N41" si="3">F23*M23</f>
        <v>1500</v>
      </c>
      <c r="O23" s="21">
        <v>2015</v>
      </c>
    </row>
    <row r="24" spans="1:15" ht="18" customHeight="1">
      <c r="A24" s="38" t="s">
        <v>152</v>
      </c>
      <c r="B24" s="61" t="s">
        <v>245</v>
      </c>
      <c r="C24" s="21" t="s">
        <v>2161</v>
      </c>
      <c r="D24" s="21">
        <v>2</v>
      </c>
      <c r="E24" s="21" t="s">
        <v>2394</v>
      </c>
      <c r="F24" s="21">
        <f t="shared" si="2"/>
        <v>0.75</v>
      </c>
      <c r="G24" s="21" t="s">
        <v>17</v>
      </c>
      <c r="H24" s="21"/>
      <c r="I24" s="21"/>
      <c r="J24" s="21"/>
      <c r="K24" s="21"/>
      <c r="L24" s="21"/>
      <c r="M24" s="22">
        <v>500</v>
      </c>
      <c r="N24" s="22">
        <f t="shared" si="3"/>
        <v>375</v>
      </c>
      <c r="O24" s="21">
        <v>2015</v>
      </c>
    </row>
    <row r="25" spans="1:15" ht="18" customHeight="1">
      <c r="A25" s="38" t="s">
        <v>152</v>
      </c>
      <c r="B25" s="61" t="s">
        <v>246</v>
      </c>
      <c r="C25" s="21" t="s">
        <v>2161</v>
      </c>
      <c r="D25" s="21">
        <v>1</v>
      </c>
      <c r="E25" s="21" t="s">
        <v>247</v>
      </c>
      <c r="F25" s="21">
        <f t="shared" si="2"/>
        <v>0.75</v>
      </c>
      <c r="G25" s="21" t="s">
        <v>17</v>
      </c>
      <c r="H25" s="21"/>
      <c r="I25" s="21"/>
      <c r="J25" s="21"/>
      <c r="K25" s="21"/>
      <c r="L25" s="21"/>
      <c r="M25" s="22">
        <v>500</v>
      </c>
      <c r="N25" s="22">
        <f t="shared" si="3"/>
        <v>375</v>
      </c>
      <c r="O25" s="21">
        <v>2015</v>
      </c>
    </row>
    <row r="26" spans="1:15" ht="18" customHeight="1">
      <c r="A26" s="38" t="s">
        <v>152</v>
      </c>
      <c r="B26" s="61" t="s">
        <v>248</v>
      </c>
      <c r="C26" s="21" t="s">
        <v>2161</v>
      </c>
      <c r="D26" s="21">
        <v>1</v>
      </c>
      <c r="E26" s="21" t="s">
        <v>249</v>
      </c>
      <c r="F26" s="21">
        <f t="shared" si="2"/>
        <v>0.75</v>
      </c>
      <c r="G26" s="21" t="s">
        <v>17</v>
      </c>
      <c r="H26" s="21"/>
      <c r="I26" s="21"/>
      <c r="J26" s="21"/>
      <c r="K26" s="21"/>
      <c r="L26" s="21"/>
      <c r="M26" s="22">
        <v>1000</v>
      </c>
      <c r="N26" s="22">
        <f t="shared" si="3"/>
        <v>750</v>
      </c>
      <c r="O26" s="21">
        <v>2015</v>
      </c>
    </row>
    <row r="27" spans="1:15" ht="18" customHeight="1">
      <c r="A27" s="38" t="s">
        <v>152</v>
      </c>
      <c r="B27" s="61" t="s">
        <v>250</v>
      </c>
      <c r="C27" s="21" t="s">
        <v>2161</v>
      </c>
      <c r="D27" s="21">
        <v>1</v>
      </c>
      <c r="E27" s="21" t="s">
        <v>2399</v>
      </c>
      <c r="F27" s="21">
        <f t="shared" si="2"/>
        <v>0.75</v>
      </c>
      <c r="G27" s="21" t="s">
        <v>17</v>
      </c>
      <c r="H27" s="21"/>
      <c r="I27" s="21"/>
      <c r="J27" s="21"/>
      <c r="K27" s="21"/>
      <c r="L27" s="21"/>
      <c r="M27" s="22">
        <v>500</v>
      </c>
      <c r="N27" s="22">
        <f t="shared" si="3"/>
        <v>375</v>
      </c>
      <c r="O27" s="21">
        <v>2015</v>
      </c>
    </row>
    <row r="28" spans="1:15" ht="18" customHeight="1">
      <c r="A28" s="38" t="s">
        <v>152</v>
      </c>
      <c r="B28" s="61" t="s">
        <v>251</v>
      </c>
      <c r="C28" s="21" t="s">
        <v>2161</v>
      </c>
      <c r="D28" s="21">
        <v>1</v>
      </c>
      <c r="E28" s="21" t="s">
        <v>252</v>
      </c>
      <c r="F28" s="21">
        <f t="shared" si="2"/>
        <v>0.75</v>
      </c>
      <c r="G28" s="21" t="s">
        <v>17</v>
      </c>
      <c r="H28" s="21"/>
      <c r="I28" s="21"/>
      <c r="J28" s="21"/>
      <c r="K28" s="21"/>
      <c r="L28" s="21"/>
      <c r="M28" s="22">
        <v>500</v>
      </c>
      <c r="N28" s="22">
        <f t="shared" si="3"/>
        <v>375</v>
      </c>
      <c r="O28" s="21">
        <v>2015</v>
      </c>
    </row>
    <row r="29" spans="1:15" ht="18" customHeight="1">
      <c r="A29" s="38" t="s">
        <v>152</v>
      </c>
      <c r="B29" s="61" t="s">
        <v>253</v>
      </c>
      <c r="C29" s="21" t="s">
        <v>2161</v>
      </c>
      <c r="D29" s="21">
        <v>1</v>
      </c>
      <c r="E29" s="21" t="s">
        <v>2398</v>
      </c>
      <c r="F29" s="21">
        <f t="shared" si="2"/>
        <v>0.75</v>
      </c>
      <c r="G29" s="21" t="s">
        <v>17</v>
      </c>
      <c r="H29" s="21"/>
      <c r="I29" s="21"/>
      <c r="J29" s="21"/>
      <c r="K29" s="21"/>
      <c r="L29" s="21"/>
      <c r="M29" s="22">
        <v>500</v>
      </c>
      <c r="N29" s="22">
        <f t="shared" si="3"/>
        <v>375</v>
      </c>
      <c r="O29" s="21">
        <v>2015</v>
      </c>
    </row>
    <row r="30" spans="1:15" ht="18" customHeight="1">
      <c r="A30" s="38" t="s">
        <v>152</v>
      </c>
      <c r="B30" s="61" t="s">
        <v>254</v>
      </c>
      <c r="C30" s="21" t="s">
        <v>2161</v>
      </c>
      <c r="D30" s="21">
        <v>1</v>
      </c>
      <c r="E30" s="21" t="s">
        <v>255</v>
      </c>
      <c r="F30" s="21">
        <f t="shared" si="2"/>
        <v>0.75</v>
      </c>
      <c r="G30" s="21" t="s">
        <v>17</v>
      </c>
      <c r="H30" s="21"/>
      <c r="I30" s="21"/>
      <c r="J30" s="21"/>
      <c r="K30" s="21"/>
      <c r="L30" s="21"/>
      <c r="M30" s="22">
        <v>250</v>
      </c>
      <c r="N30" s="22">
        <f t="shared" si="3"/>
        <v>187.5</v>
      </c>
      <c r="O30" s="21"/>
    </row>
    <row r="31" spans="1:15" ht="18" customHeight="1">
      <c r="A31" s="38" t="s">
        <v>152</v>
      </c>
      <c r="B31" s="61" t="s">
        <v>256</v>
      </c>
      <c r="C31" s="21" t="s">
        <v>2161</v>
      </c>
      <c r="D31" s="21">
        <v>1</v>
      </c>
      <c r="E31" s="21" t="s">
        <v>2397</v>
      </c>
      <c r="F31" s="21">
        <f t="shared" si="2"/>
        <v>0.5</v>
      </c>
      <c r="G31" s="21" t="s">
        <v>21</v>
      </c>
      <c r="H31" s="21"/>
      <c r="I31" s="21"/>
      <c r="J31" s="21"/>
      <c r="K31" s="21"/>
      <c r="L31" s="21"/>
      <c r="M31" s="22">
        <v>40</v>
      </c>
      <c r="N31" s="22">
        <f t="shared" si="3"/>
        <v>20</v>
      </c>
      <c r="O31" s="21"/>
    </row>
    <row r="32" spans="1:15" ht="18" customHeight="1">
      <c r="A32" s="38" t="s">
        <v>152</v>
      </c>
      <c r="B32" s="61" t="s">
        <v>257</v>
      </c>
      <c r="C32" s="21" t="s">
        <v>2161</v>
      </c>
      <c r="D32" s="21">
        <v>1</v>
      </c>
      <c r="E32" s="21" t="s">
        <v>258</v>
      </c>
      <c r="F32" s="21">
        <f t="shared" si="2"/>
        <v>0.75</v>
      </c>
      <c r="G32" s="21" t="s">
        <v>17</v>
      </c>
      <c r="H32" s="21"/>
      <c r="I32" s="21"/>
      <c r="J32" s="21"/>
      <c r="K32" s="21"/>
      <c r="L32" s="21"/>
      <c r="M32" s="22">
        <v>250</v>
      </c>
      <c r="N32" s="22">
        <f t="shared" si="3"/>
        <v>187.5</v>
      </c>
      <c r="O32" s="21"/>
    </row>
    <row r="33" spans="1:18" ht="18" customHeight="1">
      <c r="A33" s="38" t="s">
        <v>152</v>
      </c>
      <c r="B33" s="61" t="s">
        <v>259</v>
      </c>
      <c r="C33" s="21" t="s">
        <v>2161</v>
      </c>
      <c r="D33" s="21">
        <v>2</v>
      </c>
      <c r="E33" s="21" t="s">
        <v>2471</v>
      </c>
      <c r="F33" s="21">
        <f t="shared" si="2"/>
        <v>0.75</v>
      </c>
      <c r="G33" s="21" t="s">
        <v>17</v>
      </c>
      <c r="H33" s="21"/>
      <c r="I33" s="21"/>
      <c r="J33" s="21"/>
      <c r="K33" s="21"/>
      <c r="L33" s="21"/>
      <c r="M33" s="22">
        <f>250*3</f>
        <v>750</v>
      </c>
      <c r="N33" s="22">
        <f t="shared" si="3"/>
        <v>562.5</v>
      </c>
      <c r="O33" s="21"/>
    </row>
    <row r="34" spans="1:18" ht="18" customHeight="1">
      <c r="A34" s="38" t="s">
        <v>152</v>
      </c>
      <c r="B34" s="61" t="s">
        <v>260</v>
      </c>
      <c r="C34" s="21" t="s">
        <v>2161</v>
      </c>
      <c r="D34" s="21">
        <v>3</v>
      </c>
      <c r="E34" s="21" t="s">
        <v>2395</v>
      </c>
      <c r="F34" s="21">
        <f t="shared" si="2"/>
        <v>0.75</v>
      </c>
      <c r="G34" s="21" t="s">
        <v>17</v>
      </c>
      <c r="H34" s="21"/>
      <c r="I34" s="21"/>
      <c r="J34" s="21"/>
      <c r="K34" s="21"/>
      <c r="L34" s="21"/>
      <c r="M34" s="22">
        <f>250*3</f>
        <v>750</v>
      </c>
      <c r="N34" s="22">
        <f t="shared" si="3"/>
        <v>562.5</v>
      </c>
      <c r="O34" s="21"/>
    </row>
    <row r="35" spans="1:18">
      <c r="A35" s="38" t="s">
        <v>152</v>
      </c>
      <c r="B35" s="61" t="s">
        <v>1998</v>
      </c>
      <c r="C35" s="21" t="s">
        <v>2161</v>
      </c>
      <c r="D35" s="21">
        <v>12</v>
      </c>
      <c r="E35" s="21" t="s">
        <v>2396</v>
      </c>
      <c r="F35" s="21">
        <f t="shared" si="2"/>
        <v>0.5</v>
      </c>
      <c r="G35" s="21" t="s">
        <v>21</v>
      </c>
      <c r="H35" s="21"/>
      <c r="I35" s="21"/>
      <c r="J35" s="21"/>
      <c r="K35" s="21"/>
      <c r="L35" s="21"/>
      <c r="M35" s="22">
        <f>400*12</f>
        <v>4800</v>
      </c>
      <c r="N35" s="22">
        <f t="shared" si="3"/>
        <v>2400</v>
      </c>
      <c r="O35" s="21">
        <v>2010</v>
      </c>
    </row>
    <row r="36" spans="1:18">
      <c r="A36" s="38" t="s">
        <v>152</v>
      </c>
      <c r="B36" s="61" t="s">
        <v>261</v>
      </c>
      <c r="C36" s="21" t="s">
        <v>2161</v>
      </c>
      <c r="D36" s="21">
        <v>3</v>
      </c>
      <c r="E36" s="21" t="s">
        <v>2400</v>
      </c>
      <c r="F36" s="21">
        <f t="shared" si="2"/>
        <v>0.75</v>
      </c>
      <c r="G36" s="21" t="s">
        <v>17</v>
      </c>
      <c r="H36" s="21"/>
      <c r="I36" s="21"/>
      <c r="J36" s="21"/>
      <c r="K36" s="21"/>
      <c r="L36" s="21"/>
      <c r="M36" s="22">
        <f>100*3</f>
        <v>300</v>
      </c>
      <c r="N36" s="22">
        <f t="shared" si="3"/>
        <v>225</v>
      </c>
      <c r="O36" s="21"/>
    </row>
    <row r="37" spans="1:18">
      <c r="A37" s="38" t="s">
        <v>152</v>
      </c>
      <c r="B37" s="61" t="s">
        <v>262</v>
      </c>
      <c r="C37" s="21" t="s">
        <v>2161</v>
      </c>
      <c r="D37" s="21">
        <v>3</v>
      </c>
      <c r="E37" s="21" t="s">
        <v>2401</v>
      </c>
      <c r="F37" s="21">
        <f t="shared" si="2"/>
        <v>0.75</v>
      </c>
      <c r="G37" s="21" t="s">
        <v>17</v>
      </c>
      <c r="H37" s="21"/>
      <c r="I37" s="21"/>
      <c r="J37" s="21"/>
      <c r="K37" s="21"/>
      <c r="L37" s="21"/>
      <c r="M37" s="22">
        <f>100*3</f>
        <v>300</v>
      </c>
      <c r="N37" s="22">
        <f t="shared" si="3"/>
        <v>225</v>
      </c>
      <c r="O37" s="21"/>
    </row>
    <row r="38" spans="1:18">
      <c r="A38" s="38" t="s">
        <v>152</v>
      </c>
      <c r="B38" s="61" t="s">
        <v>1999</v>
      </c>
      <c r="C38" s="21" t="s">
        <v>2161</v>
      </c>
      <c r="D38" s="21" t="s">
        <v>263</v>
      </c>
      <c r="E38" s="21" t="s">
        <v>264</v>
      </c>
      <c r="F38" s="21">
        <f t="shared" si="2"/>
        <v>0.75</v>
      </c>
      <c r="G38" s="21" t="s">
        <v>17</v>
      </c>
      <c r="H38" s="21"/>
      <c r="I38" s="21"/>
      <c r="J38" s="21"/>
      <c r="K38" s="21"/>
      <c r="L38" s="21"/>
      <c r="M38" s="22">
        <f>100*8</f>
        <v>800</v>
      </c>
      <c r="N38" s="22">
        <f t="shared" si="3"/>
        <v>600</v>
      </c>
      <c r="O38" s="21"/>
    </row>
    <row r="39" spans="1:18" ht="18" customHeight="1">
      <c r="A39" s="38" t="s">
        <v>152</v>
      </c>
      <c r="B39" s="61" t="s">
        <v>267</v>
      </c>
      <c r="C39" s="21" t="s">
        <v>2161</v>
      </c>
      <c r="D39" s="21">
        <v>1</v>
      </c>
      <c r="E39" s="21" t="s">
        <v>268</v>
      </c>
      <c r="F39" s="21">
        <f t="shared" si="2"/>
        <v>0.75</v>
      </c>
      <c r="G39" s="21" t="s">
        <v>17</v>
      </c>
      <c r="H39" s="21"/>
      <c r="I39" s="21"/>
      <c r="J39" s="21"/>
      <c r="K39" s="21"/>
      <c r="L39" s="21"/>
      <c r="M39" s="22">
        <v>1000</v>
      </c>
      <c r="N39" s="22">
        <f t="shared" si="3"/>
        <v>750</v>
      </c>
      <c r="O39" s="21">
        <v>2014</v>
      </c>
    </row>
    <row r="40" spans="1:18">
      <c r="A40" s="38" t="s">
        <v>152</v>
      </c>
      <c r="B40" s="74" t="s">
        <v>2176</v>
      </c>
      <c r="C40" s="21" t="s">
        <v>2161</v>
      </c>
      <c r="D40" s="21"/>
      <c r="E40" s="21" t="s">
        <v>2177</v>
      </c>
      <c r="F40" s="21">
        <f t="shared" si="2"/>
        <v>0.75</v>
      </c>
      <c r="G40" s="64" t="s">
        <v>17</v>
      </c>
      <c r="H40" s="21"/>
      <c r="I40" s="21"/>
      <c r="J40" s="21"/>
      <c r="K40" s="21"/>
      <c r="L40" s="21"/>
      <c r="M40" s="122">
        <v>150</v>
      </c>
      <c r="N40" s="22">
        <f t="shared" si="3"/>
        <v>112.5</v>
      </c>
      <c r="O40" s="22"/>
      <c r="P40" s="69"/>
      <c r="Q40" s="20"/>
      <c r="R40" s="20"/>
    </row>
    <row r="41" spans="1:18">
      <c r="A41" s="38" t="s">
        <v>152</v>
      </c>
      <c r="B41" s="61" t="s">
        <v>270</v>
      </c>
      <c r="C41" s="21" t="s">
        <v>2161</v>
      </c>
      <c r="D41" s="21">
        <v>1</v>
      </c>
      <c r="E41" s="21" t="s">
        <v>271</v>
      </c>
      <c r="F41" s="21">
        <f t="shared" si="2"/>
        <v>0.75</v>
      </c>
      <c r="G41" s="21" t="s">
        <v>17</v>
      </c>
      <c r="H41" s="21"/>
      <c r="I41" s="21"/>
      <c r="J41" s="21"/>
      <c r="K41" s="21"/>
      <c r="L41" s="21"/>
      <c r="M41" s="22">
        <v>75</v>
      </c>
      <c r="N41" s="22">
        <f t="shared" si="3"/>
        <v>56.25</v>
      </c>
      <c r="O41" s="21"/>
    </row>
    <row r="42" spans="1:18">
      <c r="A42" s="38" t="s">
        <v>2143</v>
      </c>
      <c r="B42" s="61" t="s">
        <v>2142</v>
      </c>
      <c r="C42" s="21" t="s">
        <v>2057</v>
      </c>
      <c r="D42" s="21"/>
      <c r="E42" s="21"/>
      <c r="F42" s="21">
        <f t="shared" si="2"/>
        <v>0</v>
      </c>
      <c r="G42" s="21"/>
      <c r="H42" s="21"/>
      <c r="I42" s="21"/>
      <c r="J42" s="21"/>
      <c r="K42" s="21"/>
      <c r="L42" s="21"/>
      <c r="M42" s="21" t="s">
        <v>120</v>
      </c>
      <c r="N42" s="22"/>
      <c r="O42" s="21"/>
    </row>
    <row r="43" spans="1:18">
      <c r="A43" s="38" t="s">
        <v>152</v>
      </c>
      <c r="B43" s="61" t="s">
        <v>810</v>
      </c>
      <c r="C43" s="21" t="s">
        <v>2057</v>
      </c>
      <c r="D43" s="21"/>
      <c r="E43" s="21"/>
      <c r="F43" s="21">
        <f t="shared" si="2"/>
        <v>0.5</v>
      </c>
      <c r="G43" s="21" t="s">
        <v>29</v>
      </c>
      <c r="H43" s="21" t="s">
        <v>2180</v>
      </c>
      <c r="I43" s="21" t="s">
        <v>2181</v>
      </c>
      <c r="J43" s="21" t="s">
        <v>2182</v>
      </c>
      <c r="K43" s="21"/>
      <c r="L43" s="21"/>
      <c r="M43" s="22">
        <v>7900</v>
      </c>
      <c r="N43" s="22">
        <f>F43*M43</f>
        <v>3950</v>
      </c>
      <c r="O43" s="21">
        <v>2015</v>
      </c>
    </row>
    <row r="44" spans="1:18">
      <c r="A44" s="38" t="s">
        <v>152</v>
      </c>
      <c r="B44" s="61" t="s">
        <v>2000</v>
      </c>
      <c r="C44" s="21" t="s">
        <v>2161</v>
      </c>
      <c r="D44" s="21">
        <v>1</v>
      </c>
      <c r="E44" s="21" t="s">
        <v>272</v>
      </c>
      <c r="F44" s="21">
        <f t="shared" si="2"/>
        <v>0.75</v>
      </c>
      <c r="G44" s="21" t="s">
        <v>17</v>
      </c>
      <c r="H44" s="21"/>
      <c r="I44" s="21"/>
      <c r="J44" s="21"/>
      <c r="K44" s="21"/>
      <c r="L44" s="21"/>
      <c r="M44" s="22">
        <v>1000</v>
      </c>
      <c r="N44" s="22">
        <f>F44*M44</f>
        <v>750</v>
      </c>
      <c r="O44" s="21"/>
    </row>
    <row r="45" spans="1:18">
      <c r="A45" s="83" t="s">
        <v>2143</v>
      </c>
      <c r="B45" s="61" t="s">
        <v>2044</v>
      </c>
      <c r="C45" s="21" t="s">
        <v>2057</v>
      </c>
      <c r="D45" s="21">
        <v>1</v>
      </c>
      <c r="E45" s="21" t="s">
        <v>2460</v>
      </c>
      <c r="F45" s="21">
        <f>IF(G45="fair",0.5,0)+IF(G45="good",0.75,0)+IF(G45="poor",0.25,0)+IF(G45="like new",0.9,0)+IF(G45="new",1,0)</f>
        <v>0</v>
      </c>
      <c r="G45" s="21"/>
      <c r="H45" s="21"/>
      <c r="I45" s="21"/>
      <c r="J45" s="21"/>
      <c r="K45" s="21"/>
      <c r="L45" s="21"/>
      <c r="M45" s="22"/>
      <c r="N45" s="22"/>
      <c r="O45" s="21"/>
    </row>
    <row r="46" spans="1:18">
      <c r="A46" s="38" t="s">
        <v>152</v>
      </c>
      <c r="B46" s="61" t="s">
        <v>1995</v>
      </c>
      <c r="C46" s="21" t="s">
        <v>2057</v>
      </c>
      <c r="D46" s="21">
        <v>1</v>
      </c>
      <c r="E46" s="21" t="s">
        <v>273</v>
      </c>
      <c r="F46" s="21">
        <f t="shared" si="2"/>
        <v>0.75</v>
      </c>
      <c r="G46" s="21" t="s">
        <v>17</v>
      </c>
      <c r="H46" s="21" t="s">
        <v>97</v>
      </c>
      <c r="I46" s="21"/>
      <c r="J46" s="21"/>
      <c r="K46" s="21"/>
      <c r="L46" s="21"/>
      <c r="M46" s="22"/>
      <c r="N46" s="22"/>
      <c r="O46" s="21"/>
    </row>
    <row r="47" spans="1:18">
      <c r="C47" s="70"/>
      <c r="F47" s="78"/>
      <c r="J47" s="20"/>
      <c r="K47" s="20"/>
      <c r="L47" s="20"/>
      <c r="M47" s="71"/>
      <c r="N47" s="71"/>
    </row>
    <row r="48" spans="1:18" ht="18" customHeight="1">
      <c r="A48" s="38" t="s">
        <v>322</v>
      </c>
      <c r="B48" s="61" t="s">
        <v>2001</v>
      </c>
      <c r="C48" s="21" t="s">
        <v>2058</v>
      </c>
      <c r="D48" s="21">
        <v>1</v>
      </c>
      <c r="E48" s="21" t="s">
        <v>503</v>
      </c>
      <c r="F48" s="21">
        <f t="shared" si="2"/>
        <v>0.75</v>
      </c>
      <c r="G48" s="21" t="s">
        <v>16</v>
      </c>
      <c r="H48" s="21" t="s">
        <v>504</v>
      </c>
      <c r="I48" s="21"/>
      <c r="J48" s="21"/>
      <c r="K48" s="21"/>
      <c r="L48" s="21"/>
      <c r="M48" s="22">
        <v>6860</v>
      </c>
      <c r="N48" s="22">
        <f t="shared" ref="N48:N56" si="4">F48*M48</f>
        <v>5145</v>
      </c>
      <c r="O48" s="21"/>
    </row>
    <row r="49" spans="1:19" ht="34.5" customHeight="1">
      <c r="A49" s="38" t="s">
        <v>322</v>
      </c>
      <c r="B49" s="61" t="s">
        <v>2002</v>
      </c>
      <c r="C49" s="21" t="s">
        <v>2058</v>
      </c>
      <c r="D49" s="21">
        <v>1</v>
      </c>
      <c r="E49" s="21" t="s">
        <v>508</v>
      </c>
      <c r="F49" s="21">
        <f t="shared" si="2"/>
        <v>0.75</v>
      </c>
      <c r="G49" s="21" t="s">
        <v>16</v>
      </c>
      <c r="H49" s="21" t="s">
        <v>509</v>
      </c>
      <c r="I49" s="21"/>
      <c r="J49" s="21"/>
      <c r="K49" s="21"/>
      <c r="L49" s="21"/>
      <c r="M49" s="22">
        <v>6860</v>
      </c>
      <c r="N49" s="22">
        <f t="shared" si="4"/>
        <v>5145</v>
      </c>
      <c r="O49" s="21"/>
    </row>
    <row r="50" spans="1:19">
      <c r="A50" s="38" t="s">
        <v>322</v>
      </c>
      <c r="B50" s="61" t="s">
        <v>510</v>
      </c>
      <c r="C50" s="21" t="s">
        <v>2058</v>
      </c>
      <c r="D50" s="21">
        <v>1</v>
      </c>
      <c r="E50" s="21" t="s">
        <v>511</v>
      </c>
      <c r="F50" s="21">
        <f t="shared" si="2"/>
        <v>0.75</v>
      </c>
      <c r="G50" s="21" t="s">
        <v>16</v>
      </c>
      <c r="H50" s="21"/>
      <c r="I50" s="21"/>
      <c r="J50" s="21"/>
      <c r="K50" s="21"/>
      <c r="L50" s="21"/>
      <c r="M50" s="22">
        <v>900</v>
      </c>
      <c r="N50" s="22">
        <f t="shared" si="4"/>
        <v>675</v>
      </c>
      <c r="O50" s="21"/>
    </row>
    <row r="51" spans="1:19">
      <c r="A51" s="38" t="s">
        <v>322</v>
      </c>
      <c r="B51" s="61" t="s">
        <v>512</v>
      </c>
      <c r="C51" s="21" t="s">
        <v>2058</v>
      </c>
      <c r="D51" s="21">
        <v>1</v>
      </c>
      <c r="E51" s="21" t="s">
        <v>513</v>
      </c>
      <c r="F51" s="21">
        <f t="shared" si="2"/>
        <v>0.75</v>
      </c>
      <c r="G51" s="21" t="s">
        <v>16</v>
      </c>
      <c r="H51" s="21"/>
      <c r="I51" s="21"/>
      <c r="J51" s="21"/>
      <c r="K51" s="21"/>
      <c r="L51" s="21"/>
      <c r="M51" s="22">
        <v>200</v>
      </c>
      <c r="N51" s="22">
        <f t="shared" si="4"/>
        <v>150</v>
      </c>
      <c r="O51" s="21"/>
    </row>
    <row r="52" spans="1:19">
      <c r="A52" s="38" t="s">
        <v>322</v>
      </c>
      <c r="B52" s="61" t="s">
        <v>2178</v>
      </c>
      <c r="C52" s="21" t="s">
        <v>2058</v>
      </c>
      <c r="D52" s="21">
        <v>1</v>
      </c>
      <c r="E52" s="21" t="s">
        <v>2141</v>
      </c>
      <c r="F52" s="21">
        <f t="shared" si="2"/>
        <v>0.75</v>
      </c>
      <c r="G52" s="21" t="s">
        <v>16</v>
      </c>
      <c r="H52" s="21"/>
      <c r="I52" s="21"/>
      <c r="J52" s="21"/>
      <c r="K52" s="21"/>
      <c r="L52" s="21"/>
      <c r="M52" s="22">
        <v>873</v>
      </c>
      <c r="N52" s="22">
        <f t="shared" si="4"/>
        <v>654.75</v>
      </c>
      <c r="O52" s="21"/>
      <c r="P52" s="82"/>
      <c r="Q52" s="20"/>
      <c r="R52" s="20"/>
      <c r="S52" s="20"/>
    </row>
    <row r="53" spans="1:19" ht="34.5" customHeight="1">
      <c r="A53" s="38" t="s">
        <v>322</v>
      </c>
      <c r="B53" s="61" t="s">
        <v>2003</v>
      </c>
      <c r="C53" s="21" t="s">
        <v>2058</v>
      </c>
      <c r="D53" s="21">
        <v>1</v>
      </c>
      <c r="E53" s="21" t="s">
        <v>514</v>
      </c>
      <c r="F53" s="21">
        <f t="shared" si="2"/>
        <v>0.75</v>
      </c>
      <c r="G53" s="21" t="s">
        <v>16</v>
      </c>
      <c r="H53" s="21" t="s">
        <v>515</v>
      </c>
      <c r="I53" s="21" t="s">
        <v>516</v>
      </c>
      <c r="J53" s="64" t="s">
        <v>517</v>
      </c>
      <c r="K53" s="21"/>
      <c r="L53" s="21"/>
      <c r="M53" s="22">
        <v>23192</v>
      </c>
      <c r="N53" s="22">
        <f t="shared" si="4"/>
        <v>17394</v>
      </c>
      <c r="O53" s="21">
        <v>2013</v>
      </c>
    </row>
    <row r="54" spans="1:19">
      <c r="A54" s="38" t="s">
        <v>322</v>
      </c>
      <c r="B54" s="61" t="s">
        <v>2004</v>
      </c>
      <c r="C54" s="21" t="s">
        <v>2161</v>
      </c>
      <c r="D54" s="21">
        <v>1</v>
      </c>
      <c r="E54" s="21"/>
      <c r="F54" s="21">
        <f t="shared" si="2"/>
        <v>0.5</v>
      </c>
      <c r="G54" s="21" t="s">
        <v>29</v>
      </c>
      <c r="H54" s="21"/>
      <c r="I54" s="21"/>
      <c r="J54" s="21"/>
      <c r="K54" s="21"/>
      <c r="L54" s="21"/>
      <c r="M54" s="22">
        <f>67*2</f>
        <v>134</v>
      </c>
      <c r="N54" s="22">
        <f t="shared" si="4"/>
        <v>67</v>
      </c>
      <c r="O54" s="21"/>
    </row>
    <row r="55" spans="1:19">
      <c r="A55" s="38" t="s">
        <v>322</v>
      </c>
      <c r="B55" s="61" t="s">
        <v>2004</v>
      </c>
      <c r="C55" s="21" t="s">
        <v>2161</v>
      </c>
      <c r="D55" s="21">
        <v>1</v>
      </c>
      <c r="E55" s="21"/>
      <c r="F55" s="21">
        <f t="shared" si="2"/>
        <v>0.25</v>
      </c>
      <c r="G55" s="21" t="s">
        <v>46</v>
      </c>
      <c r="H55" s="21"/>
      <c r="I55" s="21"/>
      <c r="J55" s="21"/>
      <c r="K55" s="21"/>
      <c r="L55" s="21"/>
      <c r="M55" s="22">
        <v>67</v>
      </c>
      <c r="N55" s="22">
        <f t="shared" si="4"/>
        <v>16.75</v>
      </c>
      <c r="O55" s="21"/>
    </row>
    <row r="56" spans="1:19">
      <c r="A56" s="38" t="s">
        <v>322</v>
      </c>
      <c r="B56" s="61" t="s">
        <v>2005</v>
      </c>
      <c r="C56" s="21" t="s">
        <v>2161</v>
      </c>
      <c r="D56" s="21">
        <v>1</v>
      </c>
      <c r="E56" s="21"/>
      <c r="F56" s="21">
        <f t="shared" si="2"/>
        <v>0.75</v>
      </c>
      <c r="G56" s="21" t="s">
        <v>16</v>
      </c>
      <c r="H56" s="21"/>
      <c r="I56" s="21"/>
      <c r="J56" s="21"/>
      <c r="K56" s="21"/>
      <c r="L56" s="21"/>
      <c r="M56" s="22">
        <v>220</v>
      </c>
      <c r="N56" s="22">
        <f t="shared" si="4"/>
        <v>165</v>
      </c>
      <c r="O56" s="21"/>
    </row>
    <row r="57" spans="1:19">
      <c r="E57" s="78"/>
      <c r="F57" s="78"/>
      <c r="H57" s="78"/>
      <c r="I57" s="78"/>
      <c r="J57" s="79"/>
      <c r="K57" s="79"/>
      <c r="L57" s="79"/>
      <c r="M57" s="79"/>
      <c r="N57" s="79"/>
    </row>
    <row r="58" spans="1:19">
      <c r="A58" s="38" t="s">
        <v>321</v>
      </c>
      <c r="B58" s="61" t="s">
        <v>2006</v>
      </c>
      <c r="C58" s="21" t="s">
        <v>2161</v>
      </c>
      <c r="D58" s="73">
        <v>1</v>
      </c>
      <c r="E58" s="73" t="s">
        <v>2139</v>
      </c>
      <c r="F58" s="21">
        <f t="shared" si="2"/>
        <v>0.5</v>
      </c>
      <c r="G58" s="21" t="s">
        <v>21</v>
      </c>
      <c r="H58" s="21" t="s">
        <v>311</v>
      </c>
      <c r="I58" s="21"/>
      <c r="J58" s="21"/>
      <c r="K58" s="21"/>
      <c r="L58" s="21"/>
      <c r="M58" s="22">
        <v>1000</v>
      </c>
      <c r="N58" s="22">
        <f>F58*M58</f>
        <v>500</v>
      </c>
      <c r="O58" s="21"/>
    </row>
    <row r="59" spans="1:19">
      <c r="A59" s="38" t="s">
        <v>321</v>
      </c>
      <c r="B59" s="61" t="s">
        <v>2007</v>
      </c>
      <c r="C59" s="21" t="s">
        <v>2161</v>
      </c>
      <c r="D59" s="21">
        <v>1</v>
      </c>
      <c r="E59" s="21" t="s">
        <v>312</v>
      </c>
      <c r="F59" s="21">
        <f t="shared" si="2"/>
        <v>0.75</v>
      </c>
      <c r="G59" s="21" t="s">
        <v>17</v>
      </c>
      <c r="H59" s="21" t="s">
        <v>313</v>
      </c>
      <c r="I59" s="21"/>
      <c r="J59" s="21"/>
      <c r="K59" s="21"/>
      <c r="L59" s="21"/>
      <c r="M59" s="22">
        <v>200</v>
      </c>
      <c r="N59" s="22">
        <f>F59*M59</f>
        <v>150</v>
      </c>
      <c r="O59" s="21"/>
    </row>
    <row r="60" spans="1:19">
      <c r="A60" s="38" t="s">
        <v>321</v>
      </c>
      <c r="B60" s="61" t="s">
        <v>2008</v>
      </c>
      <c r="C60" s="21" t="s">
        <v>2057</v>
      </c>
      <c r="D60" s="21">
        <v>1</v>
      </c>
      <c r="E60" s="21" t="s">
        <v>314</v>
      </c>
      <c r="F60" s="21">
        <f t="shared" si="2"/>
        <v>0.5</v>
      </c>
      <c r="G60" s="21" t="s">
        <v>21</v>
      </c>
      <c r="H60" s="21" t="s">
        <v>315</v>
      </c>
      <c r="I60" s="21" t="s">
        <v>316</v>
      </c>
      <c r="J60" s="21"/>
      <c r="K60" s="21"/>
      <c r="L60" s="21"/>
      <c r="M60" s="22">
        <v>579</v>
      </c>
      <c r="N60" s="22">
        <f>F60*M60</f>
        <v>289.5</v>
      </c>
      <c r="O60" s="21">
        <v>2015</v>
      </c>
    </row>
    <row r="61" spans="1:19">
      <c r="A61" s="38" t="s">
        <v>321</v>
      </c>
      <c r="B61" s="61" t="s">
        <v>302</v>
      </c>
      <c r="C61" s="21" t="s">
        <v>2161</v>
      </c>
      <c r="D61" s="21">
        <v>2</v>
      </c>
      <c r="E61" s="21" t="s">
        <v>317</v>
      </c>
      <c r="F61" s="21">
        <f t="shared" si="2"/>
        <v>0.75</v>
      </c>
      <c r="G61" s="21" t="s">
        <v>17</v>
      </c>
      <c r="H61" s="21"/>
      <c r="I61" s="21"/>
      <c r="J61" s="21"/>
      <c r="K61" s="21"/>
      <c r="L61" s="21"/>
      <c r="M61" s="22">
        <f>100+50+50</f>
        <v>200</v>
      </c>
      <c r="N61" s="22">
        <f>F61*M61</f>
        <v>150</v>
      </c>
      <c r="O61" s="21"/>
    </row>
    <row r="62" spans="1:19">
      <c r="A62" s="38" t="s">
        <v>321</v>
      </c>
      <c r="B62" s="61" t="s">
        <v>318</v>
      </c>
      <c r="C62" s="21" t="s">
        <v>2161</v>
      </c>
      <c r="D62" s="21">
        <v>2</v>
      </c>
      <c r="E62" s="21" t="s">
        <v>319</v>
      </c>
      <c r="F62" s="21">
        <f t="shared" si="2"/>
        <v>0.5</v>
      </c>
      <c r="G62" s="21" t="s">
        <v>21</v>
      </c>
      <c r="H62" s="21"/>
      <c r="I62" s="21"/>
      <c r="J62" s="21"/>
      <c r="K62" s="21"/>
      <c r="L62" s="21"/>
      <c r="M62" s="22"/>
      <c r="N62" s="22"/>
      <c r="O62" s="21"/>
    </row>
    <row r="63" spans="1:19" ht="20.25" customHeight="1">
      <c r="A63" s="38" t="s">
        <v>321</v>
      </c>
      <c r="B63" s="74" t="s">
        <v>2179</v>
      </c>
      <c r="C63" s="21" t="s">
        <v>2057</v>
      </c>
      <c r="D63" s="21"/>
      <c r="E63" s="21"/>
      <c r="F63" s="21">
        <f t="shared" si="2"/>
        <v>0</v>
      </c>
      <c r="G63" s="21"/>
      <c r="H63" s="21"/>
      <c r="I63" s="21"/>
      <c r="J63" s="21"/>
      <c r="K63" s="21"/>
      <c r="L63" s="21"/>
      <c r="M63" s="21" t="s">
        <v>120</v>
      </c>
      <c r="N63" s="21"/>
      <c r="O63" s="22"/>
    </row>
    <row r="64" spans="1:19">
      <c r="A64" s="83" t="s">
        <v>321</v>
      </c>
      <c r="B64" s="61" t="s">
        <v>2044</v>
      </c>
      <c r="C64" s="21" t="s">
        <v>2057</v>
      </c>
      <c r="D64" s="21">
        <v>1</v>
      </c>
      <c r="E64" s="21" t="s">
        <v>2460</v>
      </c>
      <c r="F64" s="21">
        <f>IF(G64="fair",0.5,0)+IF(G64="good",0.75,0)+IF(G64="poor",0.25,0)+IF(G64="like new",0.9,0)+IF(G64="new",1,0)</f>
        <v>0</v>
      </c>
      <c r="G64" s="21"/>
      <c r="H64" s="21"/>
      <c r="I64" s="21"/>
      <c r="J64" s="21"/>
      <c r="K64" s="21"/>
      <c r="L64" s="21"/>
      <c r="M64" s="22"/>
      <c r="N64" s="22"/>
      <c r="O64" s="21"/>
    </row>
    <row r="65" spans="1:25">
      <c r="A65" s="38" t="s">
        <v>321</v>
      </c>
      <c r="B65" s="61" t="s">
        <v>535</v>
      </c>
      <c r="C65" s="21" t="s">
        <v>20</v>
      </c>
      <c r="D65" s="21">
        <v>1</v>
      </c>
      <c r="E65" s="21" t="s">
        <v>536</v>
      </c>
      <c r="F65" s="21">
        <f t="shared" si="2"/>
        <v>0.5</v>
      </c>
      <c r="G65" s="21" t="s">
        <v>29</v>
      </c>
      <c r="H65" s="21"/>
      <c r="I65" s="21"/>
      <c r="J65" s="21"/>
      <c r="K65" s="21">
        <v>88</v>
      </c>
      <c r="L65" s="21"/>
      <c r="M65" s="22">
        <v>500</v>
      </c>
      <c r="N65" s="22">
        <f>F65*M65</f>
        <v>250</v>
      </c>
      <c r="O65" s="21"/>
    </row>
    <row r="67" spans="1:25">
      <c r="A67" s="38" t="s">
        <v>537</v>
      </c>
    </row>
    <row r="68" spans="1:25">
      <c r="A68" s="38" t="s">
        <v>554</v>
      </c>
      <c r="B68" s="61" t="s">
        <v>2417</v>
      </c>
      <c r="C68" s="21" t="s">
        <v>2161</v>
      </c>
      <c r="D68" s="21">
        <v>1</v>
      </c>
      <c r="E68" s="21"/>
      <c r="F68" s="21">
        <f t="shared" ref="F68:F73" si="5">IF(G68="fair",0.5,0)+IF(G68="good",0.75,0)+IF(G68="poor",0.25,0)+IF(G68="like new",0.9,0)+IF(G68="new",1,0)</f>
        <v>0.5</v>
      </c>
      <c r="G68" s="21" t="s">
        <v>21</v>
      </c>
      <c r="H68" s="21"/>
      <c r="I68" s="21"/>
      <c r="J68" s="21"/>
      <c r="K68" s="21"/>
      <c r="L68" s="21"/>
      <c r="M68" s="22">
        <v>100</v>
      </c>
      <c r="N68" s="22">
        <f t="shared" ref="N68:N73" si="6">F68*M68</f>
        <v>50</v>
      </c>
      <c r="O68" s="21"/>
    </row>
    <row r="69" spans="1:25">
      <c r="A69" s="38" t="s">
        <v>554</v>
      </c>
      <c r="B69" s="61" t="s">
        <v>2009</v>
      </c>
      <c r="C69" s="21" t="s">
        <v>2161</v>
      </c>
      <c r="D69" s="21">
        <v>1</v>
      </c>
      <c r="E69" s="21"/>
      <c r="F69" s="21">
        <f t="shared" si="5"/>
        <v>0.25</v>
      </c>
      <c r="G69" s="21" t="s">
        <v>143</v>
      </c>
      <c r="H69" s="21"/>
      <c r="I69" s="21"/>
      <c r="J69" s="21"/>
      <c r="K69" s="21"/>
      <c r="L69" s="21"/>
      <c r="M69" s="22">
        <v>50</v>
      </c>
      <c r="N69" s="22">
        <f t="shared" si="6"/>
        <v>12.5</v>
      </c>
      <c r="O69" s="21"/>
    </row>
    <row r="70" spans="1:25">
      <c r="A70" s="38" t="s">
        <v>554</v>
      </c>
      <c r="B70" s="61" t="s">
        <v>2010</v>
      </c>
      <c r="C70" s="21" t="s">
        <v>2161</v>
      </c>
      <c r="D70" s="21">
        <v>1</v>
      </c>
      <c r="E70" s="21" t="s">
        <v>539</v>
      </c>
      <c r="F70" s="21">
        <f t="shared" si="5"/>
        <v>0.25</v>
      </c>
      <c r="G70" s="21" t="s">
        <v>143</v>
      </c>
      <c r="H70" s="21"/>
      <c r="I70" s="21"/>
      <c r="J70" s="21"/>
      <c r="K70" s="21"/>
      <c r="L70" s="21"/>
      <c r="M70" s="22">
        <v>250</v>
      </c>
      <c r="N70" s="22">
        <f t="shared" si="6"/>
        <v>62.5</v>
      </c>
      <c r="O70" s="21"/>
    </row>
    <row r="71" spans="1:25">
      <c r="A71" s="38" t="s">
        <v>554</v>
      </c>
      <c r="B71" s="61" t="s">
        <v>2011</v>
      </c>
      <c r="C71" s="21" t="s">
        <v>2161</v>
      </c>
      <c r="D71" s="21">
        <v>1</v>
      </c>
      <c r="E71" s="21"/>
      <c r="F71" s="21">
        <f t="shared" si="5"/>
        <v>0.5</v>
      </c>
      <c r="G71" s="21" t="s">
        <v>21</v>
      </c>
      <c r="H71" s="21" t="s">
        <v>540</v>
      </c>
      <c r="I71" s="21" t="s">
        <v>541</v>
      </c>
      <c r="J71" s="21">
        <v>50092</v>
      </c>
      <c r="K71" s="21"/>
      <c r="L71" s="21"/>
      <c r="M71" s="22">
        <v>218</v>
      </c>
      <c r="N71" s="22">
        <f t="shared" si="6"/>
        <v>109</v>
      </c>
      <c r="O71" s="21"/>
    </row>
    <row r="72" spans="1:25">
      <c r="A72" s="38" t="s">
        <v>554</v>
      </c>
      <c r="B72" s="61" t="s">
        <v>2012</v>
      </c>
      <c r="C72" s="21" t="s">
        <v>2161</v>
      </c>
      <c r="D72" s="21">
        <v>1</v>
      </c>
      <c r="E72" s="21" t="s">
        <v>544</v>
      </c>
      <c r="F72" s="21">
        <f t="shared" si="5"/>
        <v>0.5</v>
      </c>
      <c r="G72" s="21" t="s">
        <v>21</v>
      </c>
      <c r="H72" s="21"/>
      <c r="I72" s="21"/>
      <c r="J72" s="21"/>
      <c r="K72" s="21"/>
      <c r="L72" s="21"/>
      <c r="M72" s="22">
        <v>117</v>
      </c>
      <c r="N72" s="22">
        <f t="shared" si="6"/>
        <v>58.5</v>
      </c>
      <c r="O72" s="21"/>
    </row>
    <row r="73" spans="1:25">
      <c r="A73" s="38" t="s">
        <v>554</v>
      </c>
      <c r="B73" s="61" t="s">
        <v>226</v>
      </c>
      <c r="C73" s="21" t="s">
        <v>2161</v>
      </c>
      <c r="D73" s="21">
        <v>1</v>
      </c>
      <c r="E73" s="21" t="s">
        <v>545</v>
      </c>
      <c r="F73" s="21">
        <f t="shared" si="5"/>
        <v>0.25</v>
      </c>
      <c r="G73" s="21" t="s">
        <v>143</v>
      </c>
      <c r="H73" s="21"/>
      <c r="I73" s="21"/>
      <c r="J73" s="21"/>
      <c r="K73" s="21"/>
      <c r="L73" s="21"/>
      <c r="M73" s="22">
        <v>50</v>
      </c>
      <c r="N73" s="22">
        <f t="shared" si="6"/>
        <v>12.5</v>
      </c>
      <c r="O73" s="21"/>
    </row>
    <row r="74" spans="1:25" s="72" customFormat="1">
      <c r="A74" s="38"/>
      <c r="B74" s="42"/>
      <c r="C74" s="60"/>
      <c r="D74" s="20"/>
      <c r="E74" s="78"/>
      <c r="F74" s="78"/>
      <c r="G74" s="78"/>
      <c r="H74" s="78"/>
      <c r="I74" s="78"/>
      <c r="J74" s="78"/>
      <c r="K74" s="78"/>
      <c r="L74" s="78"/>
      <c r="M74" s="142"/>
      <c r="N74" s="142"/>
      <c r="O74" s="78"/>
      <c r="P74" s="23"/>
      <c r="Q74" s="23"/>
      <c r="R74" s="23"/>
      <c r="S74" s="23"/>
      <c r="T74" s="23"/>
      <c r="U74" s="23"/>
      <c r="V74" s="23"/>
      <c r="W74" s="23"/>
      <c r="X74" s="23"/>
      <c r="Y74" s="23"/>
    </row>
    <row r="75" spans="1:25">
      <c r="A75" s="38" t="s">
        <v>555</v>
      </c>
      <c r="B75" s="61" t="s">
        <v>2005</v>
      </c>
      <c r="C75" s="21" t="s">
        <v>2161</v>
      </c>
      <c r="D75" s="21">
        <v>1</v>
      </c>
      <c r="E75" s="21" t="s">
        <v>612</v>
      </c>
      <c r="F75" s="21">
        <f t="shared" ref="F75:F80" si="7">IF(G75="fair",0.5,0)+IF(G75="good",0.75,0)+IF(G75="poor",0.25,0)+IF(G75="like new",0.9,0)+IF(G75="new",1,0)</f>
        <v>0.5</v>
      </c>
      <c r="G75" s="21" t="s">
        <v>21</v>
      </c>
      <c r="H75" s="21"/>
      <c r="I75" s="21"/>
      <c r="J75" s="21"/>
      <c r="K75" s="21"/>
      <c r="L75" s="21"/>
      <c r="M75" s="22">
        <v>100</v>
      </c>
      <c r="N75" s="22">
        <f t="shared" ref="N75:N80" si="8">F75*M75</f>
        <v>50</v>
      </c>
      <c r="O75" s="21"/>
      <c r="P75" s="77"/>
    </row>
    <row r="76" spans="1:25">
      <c r="A76" s="38" t="s">
        <v>555</v>
      </c>
      <c r="B76" s="61" t="s">
        <v>546</v>
      </c>
      <c r="C76" s="21" t="s">
        <v>2161</v>
      </c>
      <c r="D76" s="21">
        <v>1</v>
      </c>
      <c r="E76" s="21"/>
      <c r="F76" s="21">
        <f t="shared" si="7"/>
        <v>0.25</v>
      </c>
      <c r="G76" s="21" t="s">
        <v>143</v>
      </c>
      <c r="H76" s="21"/>
      <c r="I76" s="21"/>
      <c r="J76" s="21"/>
      <c r="K76" s="21"/>
      <c r="L76" s="21"/>
      <c r="M76" s="22">
        <v>50</v>
      </c>
      <c r="N76" s="22">
        <f t="shared" si="8"/>
        <v>12.5</v>
      </c>
      <c r="O76" s="21"/>
      <c r="P76" s="77"/>
    </row>
    <row r="77" spans="1:25">
      <c r="A77" s="38" t="s">
        <v>555</v>
      </c>
      <c r="B77" s="61" t="s">
        <v>547</v>
      </c>
      <c r="C77" s="21" t="s">
        <v>2161</v>
      </c>
      <c r="D77" s="21">
        <v>1</v>
      </c>
      <c r="E77" s="21" t="s">
        <v>539</v>
      </c>
      <c r="F77" s="21">
        <f t="shared" si="7"/>
        <v>0.25</v>
      </c>
      <c r="G77" s="21" t="s">
        <v>143</v>
      </c>
      <c r="H77" s="21"/>
      <c r="I77" s="21"/>
      <c r="J77" s="21"/>
      <c r="K77" s="21"/>
      <c r="L77" s="21"/>
      <c r="M77" s="22">
        <v>250</v>
      </c>
      <c r="N77" s="22">
        <f t="shared" si="8"/>
        <v>62.5</v>
      </c>
      <c r="O77" s="21"/>
      <c r="P77" s="77"/>
    </row>
    <row r="78" spans="1:25">
      <c r="A78" s="38" t="s">
        <v>555</v>
      </c>
      <c r="B78" s="61" t="s">
        <v>548</v>
      </c>
      <c r="C78" s="21" t="s">
        <v>2161</v>
      </c>
      <c r="D78" s="21">
        <v>1</v>
      </c>
      <c r="E78" s="21"/>
      <c r="F78" s="21">
        <f t="shared" si="7"/>
        <v>0.5</v>
      </c>
      <c r="G78" s="21" t="s">
        <v>21</v>
      </c>
      <c r="H78" s="21" t="s">
        <v>549</v>
      </c>
      <c r="I78" s="21" t="s">
        <v>550</v>
      </c>
      <c r="J78" s="21"/>
      <c r="K78" s="21"/>
      <c r="L78" s="21"/>
      <c r="M78" s="22">
        <v>189</v>
      </c>
      <c r="N78" s="22">
        <f t="shared" si="8"/>
        <v>94.5</v>
      </c>
      <c r="O78" s="21">
        <v>2021</v>
      </c>
      <c r="P78" s="77"/>
    </row>
    <row r="79" spans="1:25">
      <c r="A79" s="38" t="s">
        <v>555</v>
      </c>
      <c r="B79" s="61" t="s">
        <v>551</v>
      </c>
      <c r="C79" s="21" t="s">
        <v>2161</v>
      </c>
      <c r="D79" s="21">
        <v>1</v>
      </c>
      <c r="E79" s="21" t="s">
        <v>552</v>
      </c>
      <c r="F79" s="21">
        <f t="shared" si="7"/>
        <v>0.75</v>
      </c>
      <c r="G79" s="21" t="s">
        <v>17</v>
      </c>
      <c r="H79" s="21"/>
      <c r="I79" s="21"/>
      <c r="J79" s="21"/>
      <c r="K79" s="21"/>
      <c r="L79" s="21"/>
      <c r="M79" s="22">
        <v>117</v>
      </c>
      <c r="N79" s="22">
        <f t="shared" si="8"/>
        <v>87.75</v>
      </c>
      <c r="O79" s="21"/>
      <c r="P79" s="77"/>
    </row>
    <row r="80" spans="1:25">
      <c r="A80" s="38" t="s">
        <v>555</v>
      </c>
      <c r="B80" s="61" t="s">
        <v>553</v>
      </c>
      <c r="C80" s="21" t="s">
        <v>2161</v>
      </c>
      <c r="D80" s="21">
        <v>1</v>
      </c>
      <c r="E80" s="21" t="s">
        <v>545</v>
      </c>
      <c r="F80" s="21">
        <f t="shared" si="7"/>
        <v>0.25</v>
      </c>
      <c r="G80" s="21" t="s">
        <v>143</v>
      </c>
      <c r="H80" s="21"/>
      <c r="I80" s="21"/>
      <c r="J80" s="21"/>
      <c r="K80" s="21"/>
      <c r="L80" s="21"/>
      <c r="M80" s="22">
        <v>50</v>
      </c>
      <c r="N80" s="22">
        <f t="shared" si="8"/>
        <v>12.5</v>
      </c>
      <c r="O80" s="21"/>
      <c r="P80" s="77"/>
    </row>
    <row r="82" spans="1:25">
      <c r="A82" s="38" t="s">
        <v>538</v>
      </c>
      <c r="B82" s="61" t="s">
        <v>547</v>
      </c>
      <c r="C82" s="21" t="s">
        <v>2161</v>
      </c>
      <c r="D82" s="21">
        <v>1</v>
      </c>
      <c r="E82" s="21" t="s">
        <v>613</v>
      </c>
      <c r="F82" s="21">
        <f t="shared" ref="F82:F87" si="9">IF(G82="fair",0.5,0)+IF(G82="good",0.75,0)+IF(G82="poor",0.25,0)+IF(G82="like new",0.9,0)+IF(G82="new",1,0)</f>
        <v>0.25</v>
      </c>
      <c r="G82" s="21" t="s">
        <v>46</v>
      </c>
      <c r="H82" s="21"/>
      <c r="I82" s="21"/>
      <c r="J82" s="21"/>
      <c r="K82" s="21"/>
      <c r="L82" s="21"/>
      <c r="M82" s="22">
        <v>250</v>
      </c>
      <c r="N82" s="22">
        <f t="shared" ref="N82:N87" si="10">F82*M82</f>
        <v>62.5</v>
      </c>
      <c r="O82" s="21"/>
      <c r="P82" s="77"/>
    </row>
    <row r="83" spans="1:25" ht="18.600000000000001" customHeight="1">
      <c r="A83" s="38" t="s">
        <v>538</v>
      </c>
      <c r="B83" s="61" t="s">
        <v>548</v>
      </c>
      <c r="C83" s="21" t="s">
        <v>2161</v>
      </c>
      <c r="D83" s="21">
        <v>1</v>
      </c>
      <c r="E83" s="21"/>
      <c r="F83" s="21">
        <f t="shared" si="9"/>
        <v>0.9</v>
      </c>
      <c r="G83" s="21" t="s">
        <v>31</v>
      </c>
      <c r="H83" s="21" t="s">
        <v>614</v>
      </c>
      <c r="I83" s="21" t="s">
        <v>615</v>
      </c>
      <c r="J83" s="21" t="s">
        <v>616</v>
      </c>
      <c r="K83" s="21"/>
      <c r="L83" s="21"/>
      <c r="M83" s="22">
        <v>315</v>
      </c>
      <c r="N83" s="22">
        <f t="shared" si="10"/>
        <v>283.5</v>
      </c>
      <c r="O83" s="21">
        <v>2021</v>
      </c>
      <c r="P83" s="77"/>
    </row>
    <row r="84" spans="1:25">
      <c r="A84" s="38" t="s">
        <v>538</v>
      </c>
      <c r="B84" s="61" t="s">
        <v>226</v>
      </c>
      <c r="C84" s="21" t="s">
        <v>2161</v>
      </c>
      <c r="D84" s="21">
        <v>1</v>
      </c>
      <c r="E84" s="21" t="s">
        <v>618</v>
      </c>
      <c r="F84" s="21">
        <f t="shared" si="9"/>
        <v>0.25</v>
      </c>
      <c r="G84" s="21" t="s">
        <v>143</v>
      </c>
      <c r="H84" s="21"/>
      <c r="I84" s="21"/>
      <c r="J84" s="21"/>
      <c r="K84" s="21"/>
      <c r="L84" s="21"/>
      <c r="M84" s="22">
        <v>50</v>
      </c>
      <c r="N84" s="22">
        <f t="shared" si="10"/>
        <v>12.5</v>
      </c>
      <c r="O84" s="21"/>
      <c r="P84" s="77"/>
    </row>
    <row r="85" spans="1:25">
      <c r="A85" s="38" t="s">
        <v>538</v>
      </c>
      <c r="B85" s="61" t="s">
        <v>2005</v>
      </c>
      <c r="C85" s="21" t="s">
        <v>2161</v>
      </c>
      <c r="D85" s="21">
        <v>1</v>
      </c>
      <c r="E85" s="21" t="s">
        <v>612</v>
      </c>
      <c r="F85" s="21">
        <f t="shared" si="9"/>
        <v>0.5</v>
      </c>
      <c r="G85" s="21" t="s">
        <v>21</v>
      </c>
      <c r="H85" s="21"/>
      <c r="I85" s="21"/>
      <c r="J85" s="21"/>
      <c r="K85" s="21"/>
      <c r="L85" s="21"/>
      <c r="M85" s="22">
        <v>100</v>
      </c>
      <c r="N85" s="22">
        <f t="shared" si="10"/>
        <v>50</v>
      </c>
      <c r="O85" s="21"/>
      <c r="P85" s="77"/>
    </row>
    <row r="86" spans="1:25">
      <c r="A86" s="38" t="s">
        <v>538</v>
      </c>
      <c r="B86" s="61" t="s">
        <v>546</v>
      </c>
      <c r="C86" s="21" t="s">
        <v>2161</v>
      </c>
      <c r="D86" s="21">
        <v>1</v>
      </c>
      <c r="E86" s="21"/>
      <c r="F86" s="21">
        <f t="shared" si="9"/>
        <v>0.75</v>
      </c>
      <c r="G86" s="21" t="s">
        <v>16</v>
      </c>
      <c r="H86" s="21"/>
      <c r="I86" s="21"/>
      <c r="J86" s="21"/>
      <c r="K86" s="21"/>
      <c r="L86" s="21"/>
      <c r="M86" s="22">
        <v>50</v>
      </c>
      <c r="N86" s="22">
        <f t="shared" si="10"/>
        <v>37.5</v>
      </c>
      <c r="O86" s="21"/>
      <c r="P86" s="77"/>
    </row>
    <row r="87" spans="1:25">
      <c r="A87" s="38" t="s">
        <v>538</v>
      </c>
      <c r="B87" s="61" t="s">
        <v>619</v>
      </c>
      <c r="C87" s="21" t="s">
        <v>2161</v>
      </c>
      <c r="D87" s="21">
        <v>1</v>
      </c>
      <c r="E87" s="21" t="s">
        <v>603</v>
      </c>
      <c r="F87" s="21">
        <f t="shared" si="9"/>
        <v>0.5</v>
      </c>
      <c r="G87" s="21" t="s">
        <v>21</v>
      </c>
      <c r="H87" s="21"/>
      <c r="I87" s="21"/>
      <c r="J87" s="21"/>
      <c r="K87" s="21"/>
      <c r="L87" s="21"/>
      <c r="M87" s="22">
        <v>117</v>
      </c>
      <c r="N87" s="22">
        <f t="shared" si="10"/>
        <v>58.5</v>
      </c>
      <c r="O87" s="21"/>
      <c r="P87" s="77"/>
    </row>
    <row r="88" spans="1:25" s="72" customFormat="1">
      <c r="A88" s="38"/>
      <c r="B88" s="42"/>
      <c r="C88" s="79"/>
      <c r="D88" s="78"/>
      <c r="E88" s="78"/>
      <c r="F88" s="78"/>
      <c r="G88" s="78"/>
      <c r="H88" s="78"/>
      <c r="I88" s="78"/>
      <c r="J88" s="78"/>
      <c r="K88" s="78"/>
      <c r="L88" s="78"/>
      <c r="M88" s="143"/>
      <c r="N88" s="143"/>
      <c r="O88" s="78"/>
      <c r="P88" s="23"/>
      <c r="Q88" s="23"/>
      <c r="R88" s="23"/>
      <c r="S88" s="23"/>
      <c r="T88" s="23"/>
      <c r="U88" s="23"/>
      <c r="V88" s="23"/>
      <c r="W88" s="23"/>
      <c r="X88" s="23"/>
      <c r="Y88" s="23"/>
    </row>
    <row r="89" spans="1:25">
      <c r="A89" s="38" t="s">
        <v>608</v>
      </c>
      <c r="B89" s="61" t="s">
        <v>547</v>
      </c>
      <c r="C89" s="21" t="s">
        <v>2161</v>
      </c>
      <c r="D89" s="21">
        <v>1</v>
      </c>
      <c r="E89" s="21" t="s">
        <v>613</v>
      </c>
      <c r="F89" s="21">
        <f t="shared" ref="F89:F94" si="11">IF(G89="fair",0.5,0)+IF(G89="good",0.75,0)+IF(G89="poor",0.25,0)+IF(G89="like new",0.9,0)+IF(G89="new",1,0)</f>
        <v>0.25</v>
      </c>
      <c r="G89" s="21" t="s">
        <v>46</v>
      </c>
      <c r="H89" s="21"/>
      <c r="I89" s="21"/>
      <c r="J89" s="21"/>
      <c r="K89" s="21"/>
      <c r="L89" s="21"/>
      <c r="M89" s="22">
        <v>250</v>
      </c>
      <c r="N89" s="22">
        <f t="shared" ref="N89:N94" si="12">F89*M89</f>
        <v>62.5</v>
      </c>
      <c r="O89" s="21"/>
      <c r="P89" s="77"/>
    </row>
    <row r="90" spans="1:25">
      <c r="A90" s="38" t="s">
        <v>608</v>
      </c>
      <c r="B90" s="61" t="s">
        <v>548</v>
      </c>
      <c r="C90" s="21" t="s">
        <v>2161</v>
      </c>
      <c r="D90" s="21">
        <v>1</v>
      </c>
      <c r="E90" s="21" t="s">
        <v>620</v>
      </c>
      <c r="F90" s="21">
        <f t="shared" si="11"/>
        <v>0.25</v>
      </c>
      <c r="G90" s="21" t="s">
        <v>46</v>
      </c>
      <c r="H90" s="21" t="s">
        <v>300</v>
      </c>
      <c r="I90" s="21" t="s">
        <v>621</v>
      </c>
      <c r="J90" s="21"/>
      <c r="K90" s="21"/>
      <c r="L90" s="21"/>
      <c r="M90" s="22">
        <v>305</v>
      </c>
      <c r="N90" s="22">
        <f t="shared" si="12"/>
        <v>76.25</v>
      </c>
      <c r="O90" s="21"/>
      <c r="P90" s="77"/>
    </row>
    <row r="91" spans="1:25">
      <c r="A91" s="38" t="s">
        <v>608</v>
      </c>
      <c r="B91" s="61" t="s">
        <v>226</v>
      </c>
      <c r="C91" s="21" t="s">
        <v>2161</v>
      </c>
      <c r="D91" s="21">
        <v>1</v>
      </c>
      <c r="E91" s="21" t="s">
        <v>618</v>
      </c>
      <c r="F91" s="21">
        <f t="shared" si="11"/>
        <v>0.25</v>
      </c>
      <c r="G91" s="21" t="s">
        <v>143</v>
      </c>
      <c r="H91" s="21"/>
      <c r="I91" s="21"/>
      <c r="J91" s="21"/>
      <c r="K91" s="21"/>
      <c r="L91" s="21"/>
      <c r="M91" s="22">
        <v>50</v>
      </c>
      <c r="N91" s="22">
        <f t="shared" si="12"/>
        <v>12.5</v>
      </c>
      <c r="O91" s="21"/>
      <c r="P91" s="77"/>
    </row>
    <row r="92" spans="1:25">
      <c r="A92" s="38" t="s">
        <v>608</v>
      </c>
      <c r="B92" s="61" t="s">
        <v>2005</v>
      </c>
      <c r="C92" s="21" t="s">
        <v>2161</v>
      </c>
      <c r="D92" s="21">
        <v>1</v>
      </c>
      <c r="E92" s="21" t="s">
        <v>612</v>
      </c>
      <c r="F92" s="21">
        <f t="shared" si="11"/>
        <v>0.5</v>
      </c>
      <c r="G92" s="21" t="s">
        <v>21</v>
      </c>
      <c r="H92" s="21"/>
      <c r="I92" s="21"/>
      <c r="J92" s="21"/>
      <c r="K92" s="21"/>
      <c r="L92" s="21"/>
      <c r="M92" s="22">
        <v>100</v>
      </c>
      <c r="N92" s="22">
        <f t="shared" si="12"/>
        <v>50</v>
      </c>
      <c r="O92" s="21"/>
      <c r="P92" s="77"/>
    </row>
    <row r="93" spans="1:25">
      <c r="A93" s="38" t="s">
        <v>608</v>
      </c>
      <c r="B93" s="61" t="s">
        <v>546</v>
      </c>
      <c r="C93" s="21" t="s">
        <v>2161</v>
      </c>
      <c r="D93" s="21">
        <v>1</v>
      </c>
      <c r="E93" s="21"/>
      <c r="F93" s="21">
        <f t="shared" si="11"/>
        <v>0.75</v>
      </c>
      <c r="G93" s="21" t="s">
        <v>16</v>
      </c>
      <c r="H93" s="21"/>
      <c r="I93" s="21"/>
      <c r="J93" s="21"/>
      <c r="K93" s="21"/>
      <c r="L93" s="21"/>
      <c r="M93" s="22">
        <v>50</v>
      </c>
      <c r="N93" s="22">
        <f t="shared" si="12"/>
        <v>37.5</v>
      </c>
      <c r="O93" s="21"/>
      <c r="P93" s="77"/>
    </row>
    <row r="94" spans="1:25">
      <c r="A94" s="38" t="s">
        <v>608</v>
      </c>
      <c r="B94" s="61" t="s">
        <v>619</v>
      </c>
      <c r="C94" s="21" t="s">
        <v>2161</v>
      </c>
      <c r="D94" s="21">
        <v>1</v>
      </c>
      <c r="E94" s="21" t="s">
        <v>603</v>
      </c>
      <c r="F94" s="21">
        <f t="shared" si="11"/>
        <v>0.5</v>
      </c>
      <c r="G94" s="21" t="s">
        <v>21</v>
      </c>
      <c r="H94" s="21"/>
      <c r="I94" s="21"/>
      <c r="J94" s="21"/>
      <c r="K94" s="21"/>
      <c r="L94" s="21"/>
      <c r="M94" s="22">
        <v>117</v>
      </c>
      <c r="N94" s="22">
        <f t="shared" si="12"/>
        <v>58.5</v>
      </c>
      <c r="O94" s="21"/>
      <c r="P94" s="77"/>
    </row>
    <row r="95" spans="1:25" s="72" customFormat="1">
      <c r="A95" s="38"/>
      <c r="B95" s="42"/>
      <c r="C95" s="79"/>
      <c r="D95" s="78"/>
      <c r="E95" s="78"/>
      <c r="F95" s="78"/>
      <c r="G95" s="78"/>
      <c r="H95" s="78"/>
      <c r="I95" s="78"/>
      <c r="J95" s="78"/>
      <c r="K95" s="78"/>
      <c r="L95" s="78"/>
      <c r="M95" s="143"/>
      <c r="N95" s="143"/>
      <c r="O95" s="78"/>
      <c r="P95" s="23"/>
      <c r="Q95" s="23"/>
      <c r="R95" s="23"/>
      <c r="S95" s="23"/>
      <c r="T95" s="23"/>
      <c r="U95" s="23"/>
      <c r="V95" s="23"/>
      <c r="W95" s="23"/>
      <c r="X95" s="23"/>
      <c r="Y95" s="23"/>
    </row>
    <row r="96" spans="1:25">
      <c r="A96" s="38" t="s">
        <v>609</v>
      </c>
      <c r="B96" s="61" t="s">
        <v>547</v>
      </c>
      <c r="C96" s="21" t="s">
        <v>2161</v>
      </c>
      <c r="D96" s="21">
        <v>1</v>
      </c>
      <c r="E96" s="21" t="s">
        <v>622</v>
      </c>
      <c r="F96" s="21">
        <f t="shared" ref="F96:F101" si="13">IF(G96="fair",0.5,0)+IF(G96="good",0.75,0)+IF(G96="poor",0.25,0)+IF(G96="like new",0.9,0)+IF(G96="new",1,0)</f>
        <v>0.25</v>
      </c>
      <c r="G96" s="21" t="s">
        <v>46</v>
      </c>
      <c r="H96" s="21"/>
      <c r="I96" s="21"/>
      <c r="J96" s="21"/>
      <c r="K96" s="21"/>
      <c r="L96" s="21"/>
      <c r="M96" s="22">
        <v>250</v>
      </c>
      <c r="N96" s="22">
        <f t="shared" ref="N96:N101" si="14">F96*M96</f>
        <v>62.5</v>
      </c>
      <c r="O96" s="21"/>
      <c r="P96" s="77"/>
    </row>
    <row r="97" spans="1:25">
      <c r="A97" s="38" t="s">
        <v>609</v>
      </c>
      <c r="B97" s="61" t="s">
        <v>548</v>
      </c>
      <c r="C97" s="21" t="s">
        <v>2161</v>
      </c>
      <c r="D97" s="21">
        <v>1</v>
      </c>
      <c r="E97" s="21" t="s">
        <v>623</v>
      </c>
      <c r="F97" s="21">
        <f t="shared" si="13"/>
        <v>0.75</v>
      </c>
      <c r="G97" s="21" t="s">
        <v>17</v>
      </c>
      <c r="H97" s="21" t="s">
        <v>624</v>
      </c>
      <c r="I97" s="21" t="s">
        <v>625</v>
      </c>
      <c r="J97" s="21"/>
      <c r="K97" s="21"/>
      <c r="L97" s="21"/>
      <c r="M97" s="22">
        <v>243</v>
      </c>
      <c r="N97" s="22">
        <f t="shared" si="14"/>
        <v>182.25</v>
      </c>
      <c r="O97" s="21">
        <v>2002</v>
      </c>
      <c r="P97" s="77"/>
    </row>
    <row r="98" spans="1:25">
      <c r="A98" s="38" t="s">
        <v>609</v>
      </c>
      <c r="B98" s="61" t="s">
        <v>226</v>
      </c>
      <c r="C98" s="21" t="s">
        <v>2161</v>
      </c>
      <c r="D98" s="21">
        <v>1</v>
      </c>
      <c r="E98" s="21" t="s">
        <v>618</v>
      </c>
      <c r="F98" s="21">
        <f t="shared" si="13"/>
        <v>0.25</v>
      </c>
      <c r="G98" s="21" t="s">
        <v>143</v>
      </c>
      <c r="H98" s="21"/>
      <c r="I98" s="21"/>
      <c r="J98" s="21"/>
      <c r="K98" s="21"/>
      <c r="L98" s="21"/>
      <c r="M98" s="22">
        <v>50</v>
      </c>
      <c r="N98" s="22">
        <f t="shared" si="14"/>
        <v>12.5</v>
      </c>
      <c r="O98" s="21"/>
      <c r="P98" s="77"/>
    </row>
    <row r="99" spans="1:25">
      <c r="A99" s="38" t="s">
        <v>609</v>
      </c>
      <c r="B99" s="61" t="s">
        <v>2005</v>
      </c>
      <c r="C99" s="21" t="s">
        <v>2161</v>
      </c>
      <c r="D99" s="21">
        <v>1</v>
      </c>
      <c r="E99" s="21" t="s">
        <v>612</v>
      </c>
      <c r="F99" s="21">
        <f t="shared" si="13"/>
        <v>0.5</v>
      </c>
      <c r="G99" s="21" t="s">
        <v>21</v>
      </c>
      <c r="H99" s="21"/>
      <c r="I99" s="21"/>
      <c r="J99" s="21"/>
      <c r="K99" s="21"/>
      <c r="L99" s="21"/>
      <c r="M99" s="22">
        <v>100</v>
      </c>
      <c r="N99" s="22">
        <f t="shared" si="14"/>
        <v>50</v>
      </c>
      <c r="O99" s="21"/>
      <c r="P99" s="77"/>
    </row>
    <row r="100" spans="1:25">
      <c r="A100" s="38" t="s">
        <v>609</v>
      </c>
      <c r="B100" s="61" t="s">
        <v>546</v>
      </c>
      <c r="C100" s="21" t="s">
        <v>2161</v>
      </c>
      <c r="D100" s="21">
        <v>1</v>
      </c>
      <c r="E100" s="21"/>
      <c r="F100" s="21">
        <f t="shared" si="13"/>
        <v>0.75</v>
      </c>
      <c r="G100" s="21" t="s">
        <v>16</v>
      </c>
      <c r="H100" s="21"/>
      <c r="I100" s="21"/>
      <c r="J100" s="21"/>
      <c r="K100" s="21"/>
      <c r="L100" s="21"/>
      <c r="M100" s="22">
        <v>50</v>
      </c>
      <c r="N100" s="22">
        <f t="shared" si="14"/>
        <v>37.5</v>
      </c>
      <c r="O100" s="21"/>
      <c r="P100" s="77"/>
    </row>
    <row r="101" spans="1:25">
      <c r="A101" s="38" t="s">
        <v>609</v>
      </c>
      <c r="B101" s="61" t="s">
        <v>619</v>
      </c>
      <c r="C101" s="21" t="s">
        <v>2161</v>
      </c>
      <c r="D101" s="21">
        <v>1</v>
      </c>
      <c r="E101" s="21" t="s">
        <v>603</v>
      </c>
      <c r="F101" s="21">
        <f t="shared" si="13"/>
        <v>0.5</v>
      </c>
      <c r="G101" s="21" t="s">
        <v>21</v>
      </c>
      <c r="H101" s="21"/>
      <c r="I101" s="21"/>
      <c r="J101" s="21"/>
      <c r="K101" s="21"/>
      <c r="L101" s="21"/>
      <c r="M101" s="22">
        <v>117</v>
      </c>
      <c r="N101" s="22">
        <f t="shared" si="14"/>
        <v>58.5</v>
      </c>
      <c r="O101" s="21"/>
      <c r="P101" s="77"/>
    </row>
    <row r="102" spans="1:25" s="72" customFormat="1">
      <c r="A102" s="38"/>
      <c r="B102" s="42"/>
      <c r="C102" s="79"/>
      <c r="D102" s="78"/>
      <c r="E102" s="78"/>
      <c r="F102" s="78"/>
      <c r="G102" s="78"/>
      <c r="H102" s="78"/>
      <c r="I102" s="78"/>
      <c r="J102" s="78"/>
      <c r="K102" s="78"/>
      <c r="L102" s="78"/>
      <c r="M102" s="143"/>
      <c r="N102" s="143"/>
      <c r="O102" s="78"/>
      <c r="P102" s="23"/>
      <c r="Q102" s="23"/>
      <c r="R102" s="23"/>
      <c r="S102" s="23"/>
      <c r="T102" s="23"/>
      <c r="U102" s="23"/>
      <c r="V102" s="23"/>
      <c r="W102" s="23"/>
      <c r="X102" s="23"/>
      <c r="Y102" s="23"/>
    </row>
    <row r="103" spans="1:25">
      <c r="A103" s="38" t="s">
        <v>610</v>
      </c>
      <c r="B103" s="61" t="s">
        <v>547</v>
      </c>
      <c r="C103" s="21" t="s">
        <v>2161</v>
      </c>
      <c r="D103" s="21">
        <v>1</v>
      </c>
      <c r="E103" s="21" t="s">
        <v>613</v>
      </c>
      <c r="F103" s="21">
        <f t="shared" ref="F103:F108" si="15">IF(G103="fair",0.5,0)+IF(G103="good",0.75,0)+IF(G103="poor",0.25,0)+IF(G103="like new",0.9,0)+IF(G103="new",1,0)</f>
        <v>0.25</v>
      </c>
      <c r="G103" s="21" t="s">
        <v>46</v>
      </c>
      <c r="H103" s="21"/>
      <c r="I103" s="21"/>
      <c r="J103" s="21"/>
      <c r="K103" s="21"/>
      <c r="L103" s="21"/>
      <c r="M103" s="22">
        <v>250</v>
      </c>
      <c r="N103" s="22">
        <f t="shared" ref="N103:N108" si="16">F103*M103</f>
        <v>62.5</v>
      </c>
      <c r="O103" s="21"/>
      <c r="P103" s="77"/>
    </row>
    <row r="104" spans="1:25">
      <c r="A104" s="38" t="s">
        <v>610</v>
      </c>
      <c r="B104" s="61" t="s">
        <v>548</v>
      </c>
      <c r="C104" s="21" t="s">
        <v>2161</v>
      </c>
      <c r="D104" s="21">
        <v>1</v>
      </c>
      <c r="E104" s="21" t="s">
        <v>626</v>
      </c>
      <c r="F104" s="21">
        <f t="shared" si="15"/>
        <v>0.75</v>
      </c>
      <c r="G104" s="21" t="s">
        <v>16</v>
      </c>
      <c r="H104" s="21" t="s">
        <v>627</v>
      </c>
      <c r="I104" s="21"/>
      <c r="J104" s="21"/>
      <c r="K104" s="21"/>
      <c r="L104" s="21"/>
      <c r="M104" s="22">
        <v>160</v>
      </c>
      <c r="N104" s="22">
        <f t="shared" si="16"/>
        <v>120</v>
      </c>
      <c r="O104" s="21">
        <v>2015</v>
      </c>
      <c r="P104" s="77"/>
    </row>
    <row r="105" spans="1:25">
      <c r="A105" s="38" t="s">
        <v>610</v>
      </c>
      <c r="B105" s="61" t="s">
        <v>226</v>
      </c>
      <c r="C105" s="21" t="s">
        <v>2161</v>
      </c>
      <c r="D105" s="21">
        <v>1</v>
      </c>
      <c r="E105" s="21" t="s">
        <v>618</v>
      </c>
      <c r="F105" s="21">
        <f t="shared" si="15"/>
        <v>0.25</v>
      </c>
      <c r="G105" s="21" t="s">
        <v>143</v>
      </c>
      <c r="H105" s="21"/>
      <c r="I105" s="21"/>
      <c r="J105" s="21"/>
      <c r="K105" s="21"/>
      <c r="L105" s="21"/>
      <c r="M105" s="22">
        <v>50</v>
      </c>
      <c r="N105" s="22">
        <f t="shared" si="16"/>
        <v>12.5</v>
      </c>
      <c r="O105" s="21"/>
      <c r="P105" s="77"/>
    </row>
    <row r="106" spans="1:25">
      <c r="A106" s="38" t="s">
        <v>610</v>
      </c>
      <c r="B106" s="61" t="s">
        <v>2005</v>
      </c>
      <c r="C106" s="21" t="s">
        <v>2161</v>
      </c>
      <c r="D106" s="21">
        <v>1</v>
      </c>
      <c r="E106" s="21" t="s">
        <v>612</v>
      </c>
      <c r="F106" s="21">
        <f t="shared" si="15"/>
        <v>0.5</v>
      </c>
      <c r="G106" s="21" t="s">
        <v>21</v>
      </c>
      <c r="H106" s="21"/>
      <c r="I106" s="21"/>
      <c r="J106" s="21"/>
      <c r="K106" s="21"/>
      <c r="L106" s="21"/>
      <c r="M106" s="22">
        <v>100</v>
      </c>
      <c r="N106" s="22">
        <f t="shared" si="16"/>
        <v>50</v>
      </c>
      <c r="O106" s="21"/>
      <c r="P106" s="77"/>
    </row>
    <row r="107" spans="1:25">
      <c r="A107" s="38" t="s">
        <v>610</v>
      </c>
      <c r="B107" s="61" t="s">
        <v>546</v>
      </c>
      <c r="C107" s="21" t="s">
        <v>2161</v>
      </c>
      <c r="D107" s="21">
        <v>1</v>
      </c>
      <c r="E107" s="21"/>
      <c r="F107" s="21">
        <f t="shared" si="15"/>
        <v>0.75</v>
      </c>
      <c r="G107" s="21" t="s">
        <v>16</v>
      </c>
      <c r="H107" s="21"/>
      <c r="I107" s="21"/>
      <c r="J107" s="21"/>
      <c r="K107" s="21"/>
      <c r="L107" s="21"/>
      <c r="M107" s="22">
        <v>50</v>
      </c>
      <c r="N107" s="22">
        <f t="shared" si="16"/>
        <v>37.5</v>
      </c>
      <c r="O107" s="21"/>
      <c r="P107" s="77"/>
    </row>
    <row r="108" spans="1:25">
      <c r="A108" s="38" t="s">
        <v>610</v>
      </c>
      <c r="B108" s="61" t="s">
        <v>619</v>
      </c>
      <c r="C108" s="21" t="s">
        <v>2161</v>
      </c>
      <c r="D108" s="21">
        <v>1</v>
      </c>
      <c r="E108" s="21" t="s">
        <v>603</v>
      </c>
      <c r="F108" s="21">
        <f t="shared" si="15"/>
        <v>0.5</v>
      </c>
      <c r="G108" s="21" t="s">
        <v>21</v>
      </c>
      <c r="H108" s="21"/>
      <c r="I108" s="21"/>
      <c r="J108" s="21"/>
      <c r="K108" s="21"/>
      <c r="L108" s="21"/>
      <c r="M108" s="22">
        <v>117</v>
      </c>
      <c r="N108" s="22">
        <f t="shared" si="16"/>
        <v>58.5</v>
      </c>
      <c r="O108" s="21"/>
      <c r="P108" s="77"/>
    </row>
    <row r="109" spans="1:25" s="72" customFormat="1">
      <c r="A109" s="38"/>
      <c r="B109" s="42"/>
      <c r="C109" s="79"/>
      <c r="D109" s="78"/>
      <c r="E109" s="78"/>
      <c r="F109" s="78"/>
      <c r="G109" s="78"/>
      <c r="H109" s="78"/>
      <c r="I109" s="78"/>
      <c r="J109" s="78"/>
      <c r="K109" s="78"/>
      <c r="L109" s="78"/>
      <c r="M109" s="143"/>
      <c r="N109" s="143"/>
      <c r="O109" s="78"/>
      <c r="P109" s="23"/>
      <c r="Q109" s="23"/>
      <c r="R109" s="23"/>
      <c r="S109" s="23"/>
      <c r="T109" s="23"/>
      <c r="U109" s="23"/>
      <c r="V109" s="23"/>
      <c r="W109" s="23"/>
      <c r="X109" s="23"/>
      <c r="Y109" s="23"/>
    </row>
    <row r="110" spans="1:25">
      <c r="A110" s="38" t="s">
        <v>611</v>
      </c>
      <c r="B110" s="61" t="s">
        <v>547</v>
      </c>
      <c r="C110" s="21" t="s">
        <v>2161</v>
      </c>
      <c r="D110" s="21">
        <v>1</v>
      </c>
      <c r="E110" s="21" t="s">
        <v>628</v>
      </c>
      <c r="F110" s="21">
        <f t="shared" ref="F110:F115" si="17">IF(G110="fair",0.5,0)+IF(G110="good",0.75,0)+IF(G110="poor",0.25,0)+IF(G110="like new",0.9,0)+IF(G110="new",1,0)</f>
        <v>0.25</v>
      </c>
      <c r="G110" s="21" t="s">
        <v>46</v>
      </c>
      <c r="H110" s="21"/>
      <c r="I110" s="21"/>
      <c r="J110" s="21"/>
      <c r="K110" s="21"/>
      <c r="L110" s="21"/>
      <c r="M110" s="22">
        <v>250</v>
      </c>
      <c r="N110" s="22">
        <f t="shared" ref="N110:N115" si="18">F110*M110</f>
        <v>62.5</v>
      </c>
      <c r="O110" s="21"/>
      <c r="P110" s="77"/>
    </row>
    <row r="111" spans="1:25">
      <c r="A111" s="38" t="s">
        <v>611</v>
      </c>
      <c r="B111" s="61" t="s">
        <v>548</v>
      </c>
      <c r="C111" s="21" t="s">
        <v>2161</v>
      </c>
      <c r="D111" s="21">
        <v>1</v>
      </c>
      <c r="E111" s="21"/>
      <c r="F111" s="21">
        <f t="shared" si="17"/>
        <v>0.25</v>
      </c>
      <c r="G111" s="21" t="s">
        <v>46</v>
      </c>
      <c r="H111" s="21" t="s">
        <v>300</v>
      </c>
      <c r="I111" s="21" t="s">
        <v>629</v>
      </c>
      <c r="J111" s="21"/>
      <c r="K111" s="21"/>
      <c r="L111" s="21"/>
      <c r="M111" s="22">
        <v>305</v>
      </c>
      <c r="N111" s="22">
        <f t="shared" si="18"/>
        <v>76.25</v>
      </c>
      <c r="O111" s="21">
        <v>1994</v>
      </c>
      <c r="P111" s="77"/>
    </row>
    <row r="112" spans="1:25">
      <c r="A112" s="38" t="s">
        <v>611</v>
      </c>
      <c r="B112" s="61" t="s">
        <v>226</v>
      </c>
      <c r="C112" s="21" t="s">
        <v>2161</v>
      </c>
      <c r="D112" s="21">
        <v>1</v>
      </c>
      <c r="E112" s="21" t="s">
        <v>618</v>
      </c>
      <c r="F112" s="21">
        <f t="shared" si="17"/>
        <v>0.25</v>
      </c>
      <c r="G112" s="21" t="s">
        <v>143</v>
      </c>
      <c r="H112" s="21"/>
      <c r="I112" s="21"/>
      <c r="J112" s="21"/>
      <c r="K112" s="21"/>
      <c r="L112" s="21"/>
      <c r="M112" s="22">
        <v>50</v>
      </c>
      <c r="N112" s="22">
        <f t="shared" si="18"/>
        <v>12.5</v>
      </c>
      <c r="O112" s="21"/>
      <c r="P112" s="77"/>
    </row>
    <row r="113" spans="1:59">
      <c r="A113" s="38" t="s">
        <v>611</v>
      </c>
      <c r="B113" s="61" t="s">
        <v>2005</v>
      </c>
      <c r="C113" s="21" t="s">
        <v>2161</v>
      </c>
      <c r="D113" s="21">
        <v>1</v>
      </c>
      <c r="E113" s="21" t="s">
        <v>612</v>
      </c>
      <c r="F113" s="21">
        <f t="shared" si="17"/>
        <v>0.5</v>
      </c>
      <c r="G113" s="21" t="s">
        <v>21</v>
      </c>
      <c r="H113" s="21"/>
      <c r="I113" s="21"/>
      <c r="J113" s="21"/>
      <c r="K113" s="21"/>
      <c r="L113" s="21"/>
      <c r="M113" s="22">
        <v>100</v>
      </c>
      <c r="N113" s="22">
        <f t="shared" si="18"/>
        <v>50</v>
      </c>
      <c r="O113" s="21"/>
      <c r="P113" s="77"/>
    </row>
    <row r="114" spans="1:59">
      <c r="A114" s="38" t="s">
        <v>611</v>
      </c>
      <c r="B114" s="61" t="s">
        <v>546</v>
      </c>
      <c r="C114" s="21" t="s">
        <v>2161</v>
      </c>
      <c r="D114" s="21">
        <v>1</v>
      </c>
      <c r="E114" s="21"/>
      <c r="F114" s="21">
        <f t="shared" si="17"/>
        <v>0.75</v>
      </c>
      <c r="G114" s="21" t="s">
        <v>16</v>
      </c>
      <c r="H114" s="21"/>
      <c r="I114" s="21"/>
      <c r="J114" s="21"/>
      <c r="K114" s="21"/>
      <c r="L114" s="21"/>
      <c r="M114" s="22">
        <v>50</v>
      </c>
      <c r="N114" s="22">
        <f t="shared" si="18"/>
        <v>37.5</v>
      </c>
      <c r="O114" s="21"/>
      <c r="P114" s="77"/>
    </row>
    <row r="115" spans="1:59">
      <c r="A115" s="38" t="s">
        <v>611</v>
      </c>
      <c r="B115" s="61" t="s">
        <v>619</v>
      </c>
      <c r="C115" s="21" t="s">
        <v>2161</v>
      </c>
      <c r="D115" s="21">
        <v>1</v>
      </c>
      <c r="E115" s="21"/>
      <c r="F115" s="21">
        <f t="shared" si="17"/>
        <v>0.75</v>
      </c>
      <c r="G115" s="21" t="s">
        <v>16</v>
      </c>
      <c r="H115" s="21"/>
      <c r="I115" s="21"/>
      <c r="J115" s="21"/>
      <c r="K115" s="21"/>
      <c r="L115" s="21"/>
      <c r="M115" s="22">
        <v>117</v>
      </c>
      <c r="N115" s="22">
        <f t="shared" si="18"/>
        <v>87.75</v>
      </c>
      <c r="O115" s="21"/>
      <c r="P115" s="77"/>
    </row>
    <row r="116" spans="1:59" s="72" customFormat="1">
      <c r="A116" s="38"/>
      <c r="B116" s="42"/>
      <c r="C116" s="79"/>
      <c r="D116" s="78"/>
      <c r="E116" s="78"/>
      <c r="F116" s="78"/>
      <c r="G116" s="78"/>
      <c r="H116" s="78"/>
      <c r="I116" s="78"/>
      <c r="J116" s="78"/>
      <c r="K116" s="78"/>
      <c r="L116" s="78"/>
      <c r="M116" s="143"/>
      <c r="N116" s="143"/>
      <c r="O116" s="78"/>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row>
    <row r="117" spans="1:59">
      <c r="A117" s="38" t="s">
        <v>630</v>
      </c>
      <c r="B117" s="61" t="s">
        <v>547</v>
      </c>
      <c r="C117" s="21" t="s">
        <v>2161</v>
      </c>
      <c r="D117" s="21">
        <v>1</v>
      </c>
      <c r="E117" s="21" t="s">
        <v>613</v>
      </c>
      <c r="F117" s="21">
        <f t="shared" ref="F117:F122" si="19">IF(G117="fair",0.5,0)+IF(G117="good",0.75,0)+IF(G117="poor",0.25,0)+IF(G117="like new",0.9,0)+IF(G117="new",1,0)</f>
        <v>0.25</v>
      </c>
      <c r="G117" s="21" t="s">
        <v>46</v>
      </c>
      <c r="H117" s="21"/>
      <c r="I117" s="21"/>
      <c r="J117" s="21"/>
      <c r="K117" s="21"/>
      <c r="L117" s="21"/>
      <c r="M117" s="22">
        <v>250</v>
      </c>
      <c r="N117" s="22">
        <f t="shared" ref="N117:N122" si="20">F117*M117</f>
        <v>62.5</v>
      </c>
      <c r="O117" s="21"/>
    </row>
    <row r="118" spans="1:59">
      <c r="A118" s="38" t="s">
        <v>630</v>
      </c>
      <c r="B118" s="61" t="s">
        <v>548</v>
      </c>
      <c r="C118" s="21" t="s">
        <v>2161</v>
      </c>
      <c r="D118" s="21">
        <v>1</v>
      </c>
      <c r="E118" s="21" t="s">
        <v>620</v>
      </c>
      <c r="F118" s="21">
        <f t="shared" si="19"/>
        <v>0.25</v>
      </c>
      <c r="G118" s="21" t="s">
        <v>143</v>
      </c>
      <c r="H118" s="21" t="s">
        <v>300</v>
      </c>
      <c r="I118" s="21" t="s">
        <v>621</v>
      </c>
      <c r="J118" s="21"/>
      <c r="K118" s="21">
        <v>19</v>
      </c>
      <c r="L118" s="21">
        <v>37</v>
      </c>
      <c r="M118" s="22">
        <v>305</v>
      </c>
      <c r="N118" s="22">
        <f t="shared" si="20"/>
        <v>76.25</v>
      </c>
      <c r="O118" s="21"/>
    </row>
    <row r="119" spans="1:59">
      <c r="A119" s="38" t="s">
        <v>630</v>
      </c>
      <c r="B119" s="61" t="s">
        <v>226</v>
      </c>
      <c r="C119" s="21" t="s">
        <v>2161</v>
      </c>
      <c r="D119" s="21">
        <v>1</v>
      </c>
      <c r="E119" s="21" t="s">
        <v>618</v>
      </c>
      <c r="F119" s="21">
        <f t="shared" si="19"/>
        <v>0.25</v>
      </c>
      <c r="G119" s="21" t="s">
        <v>143</v>
      </c>
      <c r="H119" s="21"/>
      <c r="I119" s="21"/>
      <c r="J119" s="21"/>
      <c r="K119" s="21"/>
      <c r="L119" s="21"/>
      <c r="M119" s="22">
        <v>50</v>
      </c>
      <c r="N119" s="22">
        <f t="shared" si="20"/>
        <v>12.5</v>
      </c>
      <c r="O119" s="21"/>
    </row>
    <row r="120" spans="1:59">
      <c r="A120" s="38" t="s">
        <v>630</v>
      </c>
      <c r="B120" s="61" t="s">
        <v>2005</v>
      </c>
      <c r="C120" s="21" t="s">
        <v>2161</v>
      </c>
      <c r="D120" s="21">
        <v>1</v>
      </c>
      <c r="E120" s="21" t="s">
        <v>612</v>
      </c>
      <c r="F120" s="21">
        <f t="shared" si="19"/>
        <v>0.5</v>
      </c>
      <c r="G120" s="21" t="s">
        <v>21</v>
      </c>
      <c r="H120" s="21"/>
      <c r="I120" s="21"/>
      <c r="J120" s="21"/>
      <c r="K120" s="21"/>
      <c r="L120" s="21"/>
      <c r="M120" s="22">
        <v>100</v>
      </c>
      <c r="N120" s="22">
        <f t="shared" si="20"/>
        <v>50</v>
      </c>
      <c r="O120" s="21"/>
    </row>
    <row r="121" spans="1:59">
      <c r="A121" s="38" t="s">
        <v>630</v>
      </c>
      <c r="B121" s="61" t="s">
        <v>546</v>
      </c>
      <c r="C121" s="21" t="s">
        <v>2161</v>
      </c>
      <c r="D121" s="21">
        <v>1</v>
      </c>
      <c r="E121" s="21"/>
      <c r="F121" s="21">
        <f t="shared" si="19"/>
        <v>0.75</v>
      </c>
      <c r="G121" s="21" t="s">
        <v>16</v>
      </c>
      <c r="H121" s="21"/>
      <c r="I121" s="21"/>
      <c r="J121" s="21"/>
      <c r="K121" s="21"/>
      <c r="L121" s="21"/>
      <c r="M121" s="22">
        <v>50</v>
      </c>
      <c r="N121" s="22">
        <f t="shared" si="20"/>
        <v>37.5</v>
      </c>
      <c r="O121" s="21"/>
    </row>
    <row r="122" spans="1:59">
      <c r="A122" s="38" t="s">
        <v>630</v>
      </c>
      <c r="B122" s="61" t="s">
        <v>619</v>
      </c>
      <c r="C122" s="21" t="s">
        <v>2161</v>
      </c>
      <c r="D122" s="21">
        <v>1</v>
      </c>
      <c r="E122" s="21" t="s">
        <v>603</v>
      </c>
      <c r="F122" s="21">
        <f t="shared" si="19"/>
        <v>0.5</v>
      </c>
      <c r="G122" s="21" t="s">
        <v>21</v>
      </c>
      <c r="H122" s="21"/>
      <c r="I122" s="21"/>
      <c r="J122" s="21"/>
      <c r="K122" s="21"/>
      <c r="L122" s="21"/>
      <c r="M122" s="22">
        <v>117</v>
      </c>
      <c r="N122" s="22">
        <f t="shared" si="20"/>
        <v>58.5</v>
      </c>
      <c r="O122" s="21"/>
    </row>
    <row r="123" spans="1:59">
      <c r="C123" s="20"/>
      <c r="J123" s="20"/>
      <c r="K123" s="20"/>
      <c r="L123" s="20"/>
      <c r="M123" s="41"/>
      <c r="N123" s="41"/>
    </row>
    <row r="124" spans="1:59">
      <c r="A124" s="38" t="s">
        <v>2162</v>
      </c>
    </row>
    <row r="125" spans="1:59" ht="18.75" customHeight="1">
      <c r="A125" s="38">
        <v>25</v>
      </c>
      <c r="B125" s="61" t="s">
        <v>2010</v>
      </c>
      <c r="C125" s="21" t="s">
        <v>2161</v>
      </c>
      <c r="D125" s="21">
        <v>1</v>
      </c>
      <c r="E125" s="21" t="s">
        <v>631</v>
      </c>
      <c r="F125" s="21">
        <f t="shared" ref="F125:F139" si="21">IF(G125="fair",0.5,0)+IF(G125="good",0.75,0)+IF(G125="poor",0.25,0)+IF(G125="like new",0.9,0)+IF(G125="new",1,0)</f>
        <v>0.25</v>
      </c>
      <c r="G125" s="21" t="s">
        <v>46</v>
      </c>
      <c r="H125" s="21"/>
      <c r="I125" s="21"/>
      <c r="J125" s="21"/>
      <c r="K125" s="21"/>
      <c r="L125" s="21"/>
      <c r="M125" s="68">
        <v>250</v>
      </c>
      <c r="N125" s="68">
        <f t="shared" ref="N125:N139" si="22">F125*M125</f>
        <v>62.5</v>
      </c>
      <c r="O125" s="21"/>
    </row>
    <row r="126" spans="1:59">
      <c r="A126" s="38">
        <v>25</v>
      </c>
      <c r="B126" s="61" t="s">
        <v>2013</v>
      </c>
      <c r="C126" s="21" t="s">
        <v>2057</v>
      </c>
      <c r="D126" s="21">
        <v>1</v>
      </c>
      <c r="E126" s="21"/>
      <c r="F126" s="21">
        <f t="shared" si="21"/>
        <v>0.75</v>
      </c>
      <c r="G126" s="21" t="s">
        <v>17</v>
      </c>
      <c r="H126" s="21" t="s">
        <v>614</v>
      </c>
      <c r="I126" s="21" t="s">
        <v>2183</v>
      </c>
      <c r="J126" s="21" t="s">
        <v>2184</v>
      </c>
      <c r="K126" s="21"/>
      <c r="L126" s="21"/>
      <c r="M126" s="68">
        <v>579</v>
      </c>
      <c r="N126" s="68">
        <f t="shared" si="22"/>
        <v>434.25</v>
      </c>
      <c r="O126" s="120">
        <v>44340</v>
      </c>
    </row>
    <row r="127" spans="1:59">
      <c r="A127" s="38">
        <v>25</v>
      </c>
      <c r="B127" s="61" t="s">
        <v>2417</v>
      </c>
      <c r="C127" s="21" t="s">
        <v>2161</v>
      </c>
      <c r="D127" s="21">
        <v>1</v>
      </c>
      <c r="E127" s="21"/>
      <c r="F127" s="21">
        <f t="shared" si="21"/>
        <v>0.75</v>
      </c>
      <c r="G127" s="21" t="s">
        <v>17</v>
      </c>
      <c r="H127" s="21"/>
      <c r="I127" s="21"/>
      <c r="J127" s="21"/>
      <c r="K127" s="21"/>
      <c r="L127" s="21"/>
      <c r="M127" s="68">
        <v>100</v>
      </c>
      <c r="N127" s="68">
        <f t="shared" si="22"/>
        <v>75</v>
      </c>
      <c r="O127" s="21"/>
    </row>
    <row r="128" spans="1:59">
      <c r="A128" s="38">
        <v>25</v>
      </c>
      <c r="B128" s="61" t="s">
        <v>2009</v>
      </c>
      <c r="C128" s="21" t="s">
        <v>2161</v>
      </c>
      <c r="D128" s="21">
        <v>1</v>
      </c>
      <c r="E128" s="21" t="s">
        <v>632</v>
      </c>
      <c r="F128" s="21">
        <f t="shared" si="21"/>
        <v>0.75</v>
      </c>
      <c r="G128" s="21" t="s">
        <v>17</v>
      </c>
      <c r="H128" s="21"/>
      <c r="I128" s="21"/>
      <c r="J128" s="21"/>
      <c r="K128" s="21"/>
      <c r="L128" s="21"/>
      <c r="M128" s="68">
        <v>50</v>
      </c>
      <c r="N128" s="68">
        <f t="shared" si="22"/>
        <v>37.5</v>
      </c>
      <c r="O128" s="21"/>
    </row>
    <row r="129" spans="1:15">
      <c r="A129" s="38">
        <v>25</v>
      </c>
      <c r="B129" s="61" t="s">
        <v>542</v>
      </c>
      <c r="C129" s="21" t="s">
        <v>2161</v>
      </c>
      <c r="D129" s="21">
        <v>2</v>
      </c>
      <c r="E129" s="21" t="s">
        <v>2402</v>
      </c>
      <c r="F129" s="21">
        <f t="shared" si="21"/>
        <v>0.75</v>
      </c>
      <c r="G129" s="21" t="s">
        <v>17</v>
      </c>
      <c r="H129" s="21"/>
      <c r="I129" s="21"/>
      <c r="J129" s="21"/>
      <c r="K129" s="21"/>
      <c r="L129" s="21"/>
      <c r="M129" s="68">
        <f>16*2</f>
        <v>32</v>
      </c>
      <c r="N129" s="68">
        <f t="shared" si="22"/>
        <v>24</v>
      </c>
      <c r="O129" s="21"/>
    </row>
    <row r="130" spans="1:15">
      <c r="A130" s="38">
        <v>25</v>
      </c>
      <c r="B130" s="61" t="s">
        <v>2014</v>
      </c>
      <c r="C130" s="21" t="s">
        <v>2161</v>
      </c>
      <c r="D130" s="21">
        <v>1</v>
      </c>
      <c r="E130" s="21" t="s">
        <v>633</v>
      </c>
      <c r="F130" s="21">
        <f t="shared" si="21"/>
        <v>0.25</v>
      </c>
      <c r="G130" s="21" t="s">
        <v>46</v>
      </c>
      <c r="H130" s="21"/>
      <c r="I130" s="21"/>
      <c r="J130" s="21"/>
      <c r="K130" s="21"/>
      <c r="L130" s="21"/>
      <c r="M130" s="68">
        <v>50</v>
      </c>
      <c r="N130" s="68">
        <f t="shared" si="22"/>
        <v>12.5</v>
      </c>
      <c r="O130" s="21"/>
    </row>
    <row r="131" spans="1:15">
      <c r="A131" s="38">
        <v>25</v>
      </c>
      <c r="B131" s="61" t="s">
        <v>2015</v>
      </c>
      <c r="C131" s="21" t="s">
        <v>2161</v>
      </c>
      <c r="D131" s="21">
        <v>2</v>
      </c>
      <c r="E131" s="21" t="s">
        <v>2403</v>
      </c>
      <c r="F131" s="21">
        <f t="shared" si="21"/>
        <v>0.75</v>
      </c>
      <c r="G131" s="21" t="s">
        <v>17</v>
      </c>
      <c r="H131" s="21"/>
      <c r="I131" s="21"/>
      <c r="J131" s="21"/>
      <c r="K131" s="21"/>
      <c r="L131" s="21"/>
      <c r="M131" s="68">
        <v>117</v>
      </c>
      <c r="N131" s="68">
        <f t="shared" si="22"/>
        <v>87.75</v>
      </c>
      <c r="O131" s="21"/>
    </row>
    <row r="132" spans="1:15">
      <c r="A132" s="38">
        <v>26</v>
      </c>
      <c r="B132" s="61" t="s">
        <v>547</v>
      </c>
      <c r="C132" s="21" t="s">
        <v>2161</v>
      </c>
      <c r="D132" s="21">
        <v>1</v>
      </c>
      <c r="E132" s="21" t="s">
        <v>631</v>
      </c>
      <c r="F132" s="21">
        <f t="shared" si="21"/>
        <v>0.5</v>
      </c>
      <c r="G132" s="21" t="s">
        <v>29</v>
      </c>
      <c r="H132" s="21"/>
      <c r="I132" s="21"/>
      <c r="J132" s="21"/>
      <c r="K132" s="21"/>
      <c r="L132" s="21"/>
      <c r="M132" s="68">
        <v>250</v>
      </c>
      <c r="N132" s="68">
        <f t="shared" si="22"/>
        <v>125</v>
      </c>
      <c r="O132" s="21"/>
    </row>
    <row r="133" spans="1:15">
      <c r="A133" s="38">
        <v>26</v>
      </c>
      <c r="B133" s="61" t="s">
        <v>634</v>
      </c>
      <c r="C133" s="21" t="s">
        <v>2057</v>
      </c>
      <c r="D133" s="21">
        <v>1</v>
      </c>
      <c r="E133" s="21"/>
      <c r="F133" s="21">
        <f t="shared" si="21"/>
        <v>0.75</v>
      </c>
      <c r="G133" s="21" t="s">
        <v>17</v>
      </c>
      <c r="H133" s="21"/>
      <c r="I133" s="21"/>
      <c r="J133" s="21"/>
      <c r="K133" s="21"/>
      <c r="L133" s="21"/>
      <c r="M133" s="68"/>
      <c r="N133" s="68">
        <f t="shared" si="22"/>
        <v>0</v>
      </c>
      <c r="O133" s="21"/>
    </row>
    <row r="134" spans="1:15">
      <c r="A134" s="38">
        <v>26</v>
      </c>
      <c r="B134" s="61" t="s">
        <v>2005</v>
      </c>
      <c r="C134" s="21" t="s">
        <v>2161</v>
      </c>
      <c r="D134" s="21">
        <v>1</v>
      </c>
      <c r="E134" s="21"/>
      <c r="F134" s="21">
        <f t="shared" si="21"/>
        <v>0.75</v>
      </c>
      <c r="G134" s="21" t="s">
        <v>17</v>
      </c>
      <c r="H134" s="21"/>
      <c r="I134" s="21"/>
      <c r="J134" s="21"/>
      <c r="K134" s="21"/>
      <c r="L134" s="21"/>
      <c r="M134" s="68">
        <v>100</v>
      </c>
      <c r="N134" s="68">
        <f t="shared" si="22"/>
        <v>75</v>
      </c>
      <c r="O134" s="21"/>
    </row>
    <row r="135" spans="1:15">
      <c r="A135" s="38">
        <v>26</v>
      </c>
      <c r="B135" s="61" t="s">
        <v>546</v>
      </c>
      <c r="C135" s="21" t="s">
        <v>2161</v>
      </c>
      <c r="D135" s="21">
        <v>1</v>
      </c>
      <c r="E135" s="21" t="s">
        <v>632</v>
      </c>
      <c r="F135" s="21">
        <f t="shared" si="21"/>
        <v>0.75</v>
      </c>
      <c r="G135" s="21" t="s">
        <v>17</v>
      </c>
      <c r="H135" s="21"/>
      <c r="I135" s="21"/>
      <c r="J135" s="21"/>
      <c r="K135" s="21"/>
      <c r="L135" s="21"/>
      <c r="M135" s="68">
        <v>50</v>
      </c>
      <c r="N135" s="68">
        <f t="shared" si="22"/>
        <v>37.5</v>
      </c>
      <c r="O135" s="21"/>
    </row>
    <row r="136" spans="1:15">
      <c r="A136" s="38">
        <v>26</v>
      </c>
      <c r="B136" s="61" t="s">
        <v>542</v>
      </c>
      <c r="C136" s="21" t="s">
        <v>2161</v>
      </c>
      <c r="D136" s="21">
        <v>2</v>
      </c>
      <c r="E136" s="21" t="s">
        <v>2404</v>
      </c>
      <c r="F136" s="21">
        <f t="shared" si="21"/>
        <v>0.75</v>
      </c>
      <c r="G136" s="21" t="s">
        <v>17</v>
      </c>
      <c r="H136" s="21"/>
      <c r="I136" s="21"/>
      <c r="J136" s="21"/>
      <c r="K136" s="21"/>
      <c r="L136" s="21"/>
      <c r="M136" s="68">
        <f>16*2</f>
        <v>32</v>
      </c>
      <c r="N136" s="68">
        <f t="shared" si="22"/>
        <v>24</v>
      </c>
      <c r="O136" s="21"/>
    </row>
    <row r="137" spans="1:15">
      <c r="A137" s="38">
        <v>26</v>
      </c>
      <c r="B137" s="61" t="s">
        <v>635</v>
      </c>
      <c r="C137" s="21" t="s">
        <v>2161</v>
      </c>
      <c r="D137" s="21">
        <v>1</v>
      </c>
      <c r="E137" s="21" t="s">
        <v>633</v>
      </c>
      <c r="F137" s="21">
        <f t="shared" si="21"/>
        <v>0.25</v>
      </c>
      <c r="G137" s="21" t="s">
        <v>143</v>
      </c>
      <c r="H137" s="21"/>
      <c r="I137" s="21"/>
      <c r="J137" s="21"/>
      <c r="K137" s="21"/>
      <c r="L137" s="21"/>
      <c r="M137" s="68">
        <v>50</v>
      </c>
      <c r="N137" s="68">
        <f t="shared" si="22"/>
        <v>12.5</v>
      </c>
      <c r="O137" s="21"/>
    </row>
    <row r="138" spans="1:15">
      <c r="A138" s="38">
        <v>26</v>
      </c>
      <c r="B138" s="61" t="s">
        <v>553</v>
      </c>
      <c r="C138" s="21" t="s">
        <v>2161</v>
      </c>
      <c r="D138" s="21">
        <v>1</v>
      </c>
      <c r="E138" s="21" t="s">
        <v>636</v>
      </c>
      <c r="F138" s="21">
        <f t="shared" si="21"/>
        <v>0.75</v>
      </c>
      <c r="G138" s="21" t="s">
        <v>17</v>
      </c>
      <c r="H138" s="21"/>
      <c r="I138" s="21"/>
      <c r="J138" s="21"/>
      <c r="K138" s="21"/>
      <c r="L138" s="21"/>
      <c r="M138" s="68">
        <v>50</v>
      </c>
      <c r="N138" s="68">
        <f t="shared" si="22"/>
        <v>37.5</v>
      </c>
      <c r="O138" s="21"/>
    </row>
    <row r="139" spans="1:15">
      <c r="A139" s="38">
        <v>26</v>
      </c>
      <c r="B139" s="61" t="s">
        <v>637</v>
      </c>
      <c r="C139" s="21" t="s">
        <v>2161</v>
      </c>
      <c r="D139" s="21">
        <v>2</v>
      </c>
      <c r="E139" s="21" t="s">
        <v>2405</v>
      </c>
      <c r="F139" s="21">
        <f t="shared" si="21"/>
        <v>0.75</v>
      </c>
      <c r="G139" s="21" t="s">
        <v>17</v>
      </c>
      <c r="H139" s="21"/>
      <c r="I139" s="21"/>
      <c r="J139" s="21"/>
      <c r="K139" s="21"/>
      <c r="L139" s="21"/>
      <c r="M139" s="68">
        <v>117</v>
      </c>
      <c r="N139" s="68">
        <f t="shared" si="22"/>
        <v>87.75</v>
      </c>
      <c r="O139" s="21"/>
    </row>
    <row r="141" spans="1:15">
      <c r="A141" s="38" t="s">
        <v>707</v>
      </c>
    </row>
    <row r="142" spans="1:15">
      <c r="A142" s="38">
        <v>27</v>
      </c>
      <c r="B142" s="61" t="s">
        <v>2016</v>
      </c>
      <c r="C142" s="21" t="s">
        <v>2161</v>
      </c>
      <c r="D142" s="21">
        <v>1</v>
      </c>
      <c r="E142" s="21" t="s">
        <v>631</v>
      </c>
      <c r="F142" s="21">
        <f t="shared" ref="F142:F155" si="23">IF(G142="fair",0.5,0)+IF(G142="good",0.75,0)+IF(G142="poor",0.25,0)+IF(G142="like new",0.9,0)+IF(G142="new",1,0)</f>
        <v>0.5</v>
      </c>
      <c r="G142" s="21" t="s">
        <v>21</v>
      </c>
      <c r="H142" s="21"/>
      <c r="I142" s="21"/>
      <c r="J142" s="21"/>
      <c r="K142" s="21"/>
      <c r="L142" s="21"/>
      <c r="M142" s="22">
        <v>250</v>
      </c>
      <c r="N142" s="22">
        <f t="shared" ref="N142:N155" si="24">F142*M142</f>
        <v>125</v>
      </c>
      <c r="O142" s="21"/>
    </row>
    <row r="143" spans="1:15">
      <c r="A143" s="38">
        <v>27</v>
      </c>
      <c r="B143" s="61" t="s">
        <v>2013</v>
      </c>
      <c r="C143" s="21" t="s">
        <v>2057</v>
      </c>
      <c r="D143" s="21">
        <v>1</v>
      </c>
      <c r="E143" s="21"/>
      <c r="F143" s="21">
        <f t="shared" si="23"/>
        <v>0.75</v>
      </c>
      <c r="G143" s="21" t="s">
        <v>17</v>
      </c>
      <c r="H143" s="21" t="s">
        <v>614</v>
      </c>
      <c r="I143" s="21" t="s">
        <v>2185</v>
      </c>
      <c r="J143" s="21"/>
      <c r="K143" s="21"/>
      <c r="L143" s="21"/>
      <c r="M143" s="22">
        <v>579</v>
      </c>
      <c r="N143" s="22">
        <f t="shared" si="24"/>
        <v>434.25</v>
      </c>
      <c r="O143" s="120">
        <v>43077</v>
      </c>
    </row>
    <row r="144" spans="1:15">
      <c r="A144" s="38">
        <v>27</v>
      </c>
      <c r="B144" s="61" t="s">
        <v>2418</v>
      </c>
      <c r="C144" s="21" t="s">
        <v>2161</v>
      </c>
      <c r="D144" s="21">
        <v>1</v>
      </c>
      <c r="E144" s="21"/>
      <c r="F144" s="21">
        <f t="shared" si="23"/>
        <v>0.5</v>
      </c>
      <c r="G144" s="21" t="s">
        <v>21</v>
      </c>
      <c r="H144" s="21"/>
      <c r="I144" s="21"/>
      <c r="J144" s="21"/>
      <c r="K144" s="21"/>
      <c r="L144" s="21"/>
      <c r="M144" s="22">
        <v>100</v>
      </c>
      <c r="N144" s="22">
        <f t="shared" si="24"/>
        <v>50</v>
      </c>
      <c r="O144" s="21"/>
    </row>
    <row r="145" spans="1:15">
      <c r="A145" s="38">
        <v>27</v>
      </c>
      <c r="B145" s="61" t="s">
        <v>2017</v>
      </c>
      <c r="C145" s="21" t="s">
        <v>2161</v>
      </c>
      <c r="D145" s="21">
        <v>1</v>
      </c>
      <c r="E145" s="21" t="s">
        <v>632</v>
      </c>
      <c r="F145" s="21">
        <f t="shared" si="23"/>
        <v>0.75</v>
      </c>
      <c r="G145" s="21" t="s">
        <v>17</v>
      </c>
      <c r="H145" s="21"/>
      <c r="I145" s="21"/>
      <c r="J145" s="21"/>
      <c r="K145" s="21"/>
      <c r="L145" s="21"/>
      <c r="M145" s="22">
        <v>50</v>
      </c>
      <c r="N145" s="22">
        <f t="shared" si="24"/>
        <v>37.5</v>
      </c>
      <c r="O145" s="21"/>
    </row>
    <row r="146" spans="1:15">
      <c r="A146" s="38">
        <v>27</v>
      </c>
      <c r="B146" s="61" t="s">
        <v>542</v>
      </c>
      <c r="C146" s="21" t="s">
        <v>2161</v>
      </c>
      <c r="D146" s="21">
        <v>2</v>
      </c>
      <c r="E146" s="21" t="s">
        <v>2404</v>
      </c>
      <c r="F146" s="21">
        <f t="shared" si="23"/>
        <v>0.75</v>
      </c>
      <c r="G146" s="21" t="s">
        <v>17</v>
      </c>
      <c r="H146" s="21"/>
      <c r="I146" s="21"/>
      <c r="J146" s="21"/>
      <c r="K146" s="21"/>
      <c r="L146" s="21"/>
      <c r="M146" s="22">
        <f>16*2</f>
        <v>32</v>
      </c>
      <c r="N146" s="22">
        <f t="shared" si="24"/>
        <v>24</v>
      </c>
      <c r="O146" s="21"/>
    </row>
    <row r="147" spans="1:15">
      <c r="A147" s="38">
        <v>27</v>
      </c>
      <c r="B147" s="61" t="s">
        <v>553</v>
      </c>
      <c r="C147" s="21" t="s">
        <v>2161</v>
      </c>
      <c r="D147" s="21">
        <v>1</v>
      </c>
      <c r="E147" s="21" t="s">
        <v>636</v>
      </c>
      <c r="F147" s="21">
        <f t="shared" si="23"/>
        <v>0.75</v>
      </c>
      <c r="G147" s="21" t="s">
        <v>17</v>
      </c>
      <c r="H147" s="21"/>
      <c r="I147" s="21"/>
      <c r="J147" s="21"/>
      <c r="K147" s="21">
        <v>28</v>
      </c>
      <c r="L147" s="21">
        <v>34</v>
      </c>
      <c r="M147" s="22">
        <v>50</v>
      </c>
      <c r="N147" s="22">
        <f t="shared" si="24"/>
        <v>37.5</v>
      </c>
      <c r="O147" s="21"/>
    </row>
    <row r="148" spans="1:15">
      <c r="A148" s="38">
        <v>27</v>
      </c>
      <c r="B148" s="61" t="s">
        <v>2018</v>
      </c>
      <c r="C148" s="21" t="s">
        <v>2161</v>
      </c>
      <c r="D148" s="21">
        <v>2</v>
      </c>
      <c r="E148" s="21" t="s">
        <v>2403</v>
      </c>
      <c r="F148" s="21">
        <f t="shared" si="23"/>
        <v>0.75</v>
      </c>
      <c r="G148" s="21" t="s">
        <v>17</v>
      </c>
      <c r="H148" s="21"/>
      <c r="I148" s="21"/>
      <c r="J148" s="21"/>
      <c r="K148" s="21"/>
      <c r="L148" s="21"/>
      <c r="M148" s="68">
        <v>117</v>
      </c>
      <c r="N148" s="68">
        <f t="shared" si="24"/>
        <v>87.75</v>
      </c>
      <c r="O148" s="21"/>
    </row>
    <row r="149" spans="1:15">
      <c r="A149" s="38">
        <v>28</v>
      </c>
      <c r="B149" s="61" t="s">
        <v>547</v>
      </c>
      <c r="C149" s="21" t="s">
        <v>2161</v>
      </c>
      <c r="D149" s="21">
        <v>1</v>
      </c>
      <c r="E149" s="21" t="s">
        <v>631</v>
      </c>
      <c r="F149" s="21">
        <f t="shared" si="23"/>
        <v>0.5</v>
      </c>
      <c r="G149" s="21" t="s">
        <v>21</v>
      </c>
      <c r="H149" s="21"/>
      <c r="I149" s="21"/>
      <c r="J149" s="21"/>
      <c r="K149" s="21">
        <v>38.5</v>
      </c>
      <c r="L149" s="21">
        <v>28</v>
      </c>
      <c r="M149" s="68">
        <v>250</v>
      </c>
      <c r="N149" s="68">
        <f t="shared" si="24"/>
        <v>125</v>
      </c>
      <c r="O149" s="21"/>
    </row>
    <row r="150" spans="1:15">
      <c r="A150" s="38">
        <v>28</v>
      </c>
      <c r="B150" s="61" t="s">
        <v>634</v>
      </c>
      <c r="C150" s="21" t="s">
        <v>2057</v>
      </c>
      <c r="D150" s="21">
        <v>1</v>
      </c>
      <c r="E150" s="21"/>
      <c r="F150" s="21">
        <f t="shared" si="23"/>
        <v>0.75</v>
      </c>
      <c r="G150" s="21" t="s">
        <v>17</v>
      </c>
      <c r="H150" s="21"/>
      <c r="I150" s="21"/>
      <c r="J150" s="21"/>
      <c r="K150" s="21"/>
      <c r="L150" s="21"/>
      <c r="M150" s="68"/>
      <c r="N150" s="68">
        <f t="shared" si="24"/>
        <v>0</v>
      </c>
      <c r="O150" s="21"/>
    </row>
    <row r="151" spans="1:15">
      <c r="A151" s="38">
        <v>28</v>
      </c>
      <c r="B151" s="61" t="s">
        <v>2005</v>
      </c>
      <c r="C151" s="21" t="s">
        <v>2161</v>
      </c>
      <c r="D151" s="21">
        <v>1</v>
      </c>
      <c r="E151" s="21"/>
      <c r="F151" s="21">
        <f t="shared" si="23"/>
        <v>0.5</v>
      </c>
      <c r="G151" s="21" t="s">
        <v>21</v>
      </c>
      <c r="H151" s="21"/>
      <c r="I151" s="21"/>
      <c r="J151" s="21"/>
      <c r="K151" s="21"/>
      <c r="L151" s="21"/>
      <c r="M151" s="68">
        <v>100</v>
      </c>
      <c r="N151" s="68">
        <f t="shared" si="24"/>
        <v>50</v>
      </c>
      <c r="O151" s="21"/>
    </row>
    <row r="152" spans="1:15">
      <c r="A152" s="38">
        <v>28</v>
      </c>
      <c r="B152" s="61" t="s">
        <v>546</v>
      </c>
      <c r="C152" s="21" t="s">
        <v>2161</v>
      </c>
      <c r="D152" s="21">
        <v>1</v>
      </c>
      <c r="E152" s="21" t="s">
        <v>632</v>
      </c>
      <c r="F152" s="21">
        <f t="shared" si="23"/>
        <v>0.75</v>
      </c>
      <c r="G152" s="21" t="s">
        <v>17</v>
      </c>
      <c r="H152" s="21"/>
      <c r="I152" s="21"/>
      <c r="J152" s="21"/>
      <c r="K152" s="21"/>
      <c r="L152" s="21"/>
      <c r="M152" s="68">
        <v>50</v>
      </c>
      <c r="N152" s="68">
        <f t="shared" si="24"/>
        <v>37.5</v>
      </c>
      <c r="O152" s="21"/>
    </row>
    <row r="153" spans="1:15">
      <c r="A153" s="38">
        <v>28</v>
      </c>
      <c r="B153" s="61" t="s">
        <v>542</v>
      </c>
      <c r="C153" s="21" t="s">
        <v>2161</v>
      </c>
      <c r="D153" s="21">
        <v>2</v>
      </c>
      <c r="E153" s="21" t="s">
        <v>2402</v>
      </c>
      <c r="F153" s="21">
        <f t="shared" si="23"/>
        <v>0.75</v>
      </c>
      <c r="G153" s="21" t="s">
        <v>17</v>
      </c>
      <c r="H153" s="21"/>
      <c r="I153" s="21"/>
      <c r="J153" s="21"/>
      <c r="K153" s="21"/>
      <c r="L153" s="21"/>
      <c r="M153" s="68">
        <f>16*2</f>
        <v>32</v>
      </c>
      <c r="N153" s="68">
        <f t="shared" si="24"/>
        <v>24</v>
      </c>
      <c r="O153" s="21"/>
    </row>
    <row r="154" spans="1:15">
      <c r="A154" s="38">
        <v>28</v>
      </c>
      <c r="B154" s="61" t="s">
        <v>553</v>
      </c>
      <c r="C154" s="21" t="s">
        <v>2161</v>
      </c>
      <c r="D154" s="21">
        <v>1</v>
      </c>
      <c r="E154" s="21" t="s">
        <v>636</v>
      </c>
      <c r="F154" s="21">
        <f t="shared" si="23"/>
        <v>0.75</v>
      </c>
      <c r="G154" s="21" t="s">
        <v>17</v>
      </c>
      <c r="H154" s="21"/>
      <c r="I154" s="21"/>
      <c r="J154" s="21"/>
      <c r="K154" s="21">
        <v>28</v>
      </c>
      <c r="L154" s="21">
        <v>34</v>
      </c>
      <c r="M154" s="68">
        <v>50</v>
      </c>
      <c r="N154" s="68">
        <f t="shared" si="24"/>
        <v>37.5</v>
      </c>
      <c r="O154" s="21"/>
    </row>
    <row r="155" spans="1:15">
      <c r="A155" s="38">
        <v>28</v>
      </c>
      <c r="B155" s="61" t="s">
        <v>637</v>
      </c>
      <c r="C155" s="21" t="s">
        <v>2161</v>
      </c>
      <c r="D155" s="21">
        <v>2</v>
      </c>
      <c r="E155" s="21" t="s">
        <v>2403</v>
      </c>
      <c r="F155" s="21">
        <f t="shared" si="23"/>
        <v>0.75</v>
      </c>
      <c r="G155" s="21" t="s">
        <v>17</v>
      </c>
      <c r="H155" s="21"/>
      <c r="I155" s="21"/>
      <c r="J155" s="21"/>
      <c r="K155" s="21"/>
      <c r="L155" s="21"/>
      <c r="M155" s="68">
        <v>117</v>
      </c>
      <c r="N155" s="68">
        <f t="shared" si="24"/>
        <v>87.75</v>
      </c>
      <c r="O155" s="21"/>
    </row>
    <row r="157" spans="1:15">
      <c r="A157" s="38" t="s">
        <v>708</v>
      </c>
      <c r="H157" s="78"/>
      <c r="I157" s="78"/>
      <c r="J157" s="79"/>
      <c r="K157" s="79"/>
      <c r="L157" s="79"/>
      <c r="M157" s="79"/>
      <c r="N157" s="79"/>
    </row>
    <row r="158" spans="1:15">
      <c r="A158" s="38" t="s">
        <v>721</v>
      </c>
      <c r="B158" s="61" t="s">
        <v>2019</v>
      </c>
      <c r="C158" s="21" t="s">
        <v>2161</v>
      </c>
      <c r="D158" s="21">
        <v>1</v>
      </c>
      <c r="E158" s="21" t="s">
        <v>709</v>
      </c>
      <c r="F158" s="21">
        <f t="shared" ref="F158:F166" si="25">IF(G158="fair",0.5,0)+IF(G158="good",0.75,0)+IF(G158="poor",0.25,0)+IF(G158="like new",0.9,0)+IF(G158="new",1,0)</f>
        <v>0.75</v>
      </c>
      <c r="G158" s="21" t="s">
        <v>17</v>
      </c>
      <c r="H158" s="21" t="s">
        <v>710</v>
      </c>
      <c r="I158" s="21" t="s">
        <v>711</v>
      </c>
      <c r="J158" s="21"/>
      <c r="K158" s="21"/>
      <c r="L158" s="21"/>
      <c r="M158" s="22">
        <v>1000</v>
      </c>
      <c r="N158" s="22">
        <f t="shared" ref="N158:N166" si="26">F158*M158</f>
        <v>750</v>
      </c>
      <c r="O158" s="21">
        <v>2003</v>
      </c>
    </row>
    <row r="159" spans="1:15">
      <c r="A159" s="38" t="s">
        <v>721</v>
      </c>
      <c r="B159" s="61" t="s">
        <v>2417</v>
      </c>
      <c r="C159" s="21" t="s">
        <v>2161</v>
      </c>
      <c r="D159" s="21">
        <v>4</v>
      </c>
      <c r="E159" s="21"/>
      <c r="F159" s="21">
        <f t="shared" si="25"/>
        <v>0.75</v>
      </c>
      <c r="G159" s="21" t="s">
        <v>17</v>
      </c>
      <c r="H159" s="21"/>
      <c r="I159" s="21"/>
      <c r="J159" s="21"/>
      <c r="K159" s="21"/>
      <c r="L159" s="21"/>
      <c r="M159" s="22">
        <f>100*4</f>
        <v>400</v>
      </c>
      <c r="N159" s="22">
        <f t="shared" si="26"/>
        <v>300</v>
      </c>
      <c r="O159" s="21"/>
    </row>
    <row r="160" spans="1:15">
      <c r="A160" s="38" t="s">
        <v>721</v>
      </c>
      <c r="B160" s="61" t="s">
        <v>2007</v>
      </c>
      <c r="C160" s="21" t="s">
        <v>2161</v>
      </c>
      <c r="D160" s="21">
        <v>4</v>
      </c>
      <c r="E160" s="21" t="s">
        <v>712</v>
      </c>
      <c r="F160" s="21">
        <f t="shared" si="25"/>
        <v>0.75</v>
      </c>
      <c r="G160" s="21" t="s">
        <v>17</v>
      </c>
      <c r="H160" s="21"/>
      <c r="I160" s="21"/>
      <c r="J160" s="21"/>
      <c r="K160" s="21"/>
      <c r="L160" s="21"/>
      <c r="M160" s="22">
        <f>100*4</f>
        <v>400</v>
      </c>
      <c r="N160" s="22">
        <f t="shared" si="26"/>
        <v>300</v>
      </c>
      <c r="O160" s="21"/>
    </row>
    <row r="161" spans="1:15">
      <c r="A161" s="38" t="s">
        <v>721</v>
      </c>
      <c r="B161" s="61" t="s">
        <v>2020</v>
      </c>
      <c r="C161" s="21" t="s">
        <v>2161</v>
      </c>
      <c r="D161" s="21">
        <v>1</v>
      </c>
      <c r="E161" s="21"/>
      <c r="F161" s="21">
        <f t="shared" si="25"/>
        <v>0.75</v>
      </c>
      <c r="G161" s="21" t="s">
        <v>17</v>
      </c>
      <c r="H161" s="21"/>
      <c r="I161" s="21"/>
      <c r="J161" s="21"/>
      <c r="K161" s="21"/>
      <c r="L161" s="21"/>
      <c r="M161" s="22">
        <v>300</v>
      </c>
      <c r="N161" s="22">
        <f t="shared" si="26"/>
        <v>225</v>
      </c>
      <c r="O161" s="21"/>
    </row>
    <row r="162" spans="1:15" ht="18" customHeight="1">
      <c r="A162" s="38" t="s">
        <v>721</v>
      </c>
      <c r="B162" s="61" t="s">
        <v>2021</v>
      </c>
      <c r="C162" s="21" t="s">
        <v>2057</v>
      </c>
      <c r="D162" s="21">
        <v>1</v>
      </c>
      <c r="E162" s="21"/>
      <c r="F162" s="21">
        <f t="shared" si="25"/>
        <v>0.25</v>
      </c>
      <c r="G162" s="21" t="s">
        <v>143</v>
      </c>
      <c r="H162" s="21" t="s">
        <v>713</v>
      </c>
      <c r="I162" s="21"/>
      <c r="J162" s="64"/>
      <c r="K162" s="64"/>
      <c r="L162" s="64"/>
      <c r="M162" s="80">
        <v>1300</v>
      </c>
      <c r="N162" s="22">
        <f t="shared" si="26"/>
        <v>325</v>
      </c>
      <c r="O162" s="21"/>
    </row>
    <row r="163" spans="1:15" ht="18" customHeight="1">
      <c r="A163" s="38" t="s">
        <v>721</v>
      </c>
      <c r="B163" s="61" t="s">
        <v>2022</v>
      </c>
      <c r="C163" s="21" t="s">
        <v>2057</v>
      </c>
      <c r="D163" s="21">
        <v>1</v>
      </c>
      <c r="E163" s="21"/>
      <c r="F163" s="21">
        <f t="shared" si="25"/>
        <v>0.25</v>
      </c>
      <c r="G163" s="21" t="s">
        <v>143</v>
      </c>
      <c r="H163" s="21" t="s">
        <v>714</v>
      </c>
      <c r="I163" s="21"/>
      <c r="J163" s="64"/>
      <c r="K163" s="64"/>
      <c r="L163" s="64"/>
      <c r="M163" s="80">
        <v>579</v>
      </c>
      <c r="N163" s="22">
        <f t="shared" si="26"/>
        <v>144.75</v>
      </c>
      <c r="O163" s="21">
        <v>2004</v>
      </c>
    </row>
    <row r="164" spans="1:15" ht="18" customHeight="1">
      <c r="A164" s="38" t="s">
        <v>721</v>
      </c>
      <c r="B164" s="61" t="s">
        <v>2023</v>
      </c>
      <c r="C164" s="21" t="s">
        <v>2057</v>
      </c>
      <c r="D164" s="21">
        <v>1</v>
      </c>
      <c r="E164" s="21"/>
      <c r="F164" s="21">
        <f t="shared" si="25"/>
        <v>0</v>
      </c>
      <c r="G164" s="21" t="s">
        <v>715</v>
      </c>
      <c r="H164" s="21" t="s">
        <v>716</v>
      </c>
      <c r="I164" s="21"/>
      <c r="J164" s="64"/>
      <c r="K164" s="64"/>
      <c r="L164" s="64"/>
      <c r="M164" s="81">
        <v>600</v>
      </c>
      <c r="N164" s="68">
        <f t="shared" si="26"/>
        <v>0</v>
      </c>
      <c r="O164" s="21"/>
    </row>
    <row r="165" spans="1:15">
      <c r="A165" s="38" t="s">
        <v>721</v>
      </c>
      <c r="B165" s="61" t="s">
        <v>717</v>
      </c>
      <c r="C165" s="21" t="s">
        <v>2161</v>
      </c>
      <c r="D165" s="21">
        <v>2</v>
      </c>
      <c r="E165" s="21" t="s">
        <v>2406</v>
      </c>
      <c r="F165" s="21">
        <f t="shared" si="25"/>
        <v>0.5</v>
      </c>
      <c r="G165" s="21" t="s">
        <v>21</v>
      </c>
      <c r="H165" s="21"/>
      <c r="I165" s="21"/>
      <c r="J165" s="21"/>
      <c r="K165" s="21"/>
      <c r="L165" s="21"/>
      <c r="M165" s="22">
        <f>16*2</f>
        <v>32</v>
      </c>
      <c r="N165" s="22">
        <f t="shared" si="26"/>
        <v>16</v>
      </c>
      <c r="O165" s="21"/>
    </row>
    <row r="166" spans="1:15">
      <c r="A166" s="38" t="s">
        <v>721</v>
      </c>
      <c r="B166" s="61" t="s">
        <v>2024</v>
      </c>
      <c r="C166" s="21" t="s">
        <v>2161</v>
      </c>
      <c r="D166" s="21">
        <v>1</v>
      </c>
      <c r="E166" s="21" t="s">
        <v>718</v>
      </c>
      <c r="F166" s="21">
        <f t="shared" si="25"/>
        <v>0.5</v>
      </c>
      <c r="G166" s="21" t="s">
        <v>21</v>
      </c>
      <c r="H166" s="21"/>
      <c r="I166" s="21"/>
      <c r="J166" s="21"/>
      <c r="K166" s="21"/>
      <c r="L166" s="21"/>
      <c r="M166" s="22">
        <v>50</v>
      </c>
      <c r="N166" s="22">
        <f t="shared" si="26"/>
        <v>25</v>
      </c>
      <c r="O166" s="21"/>
    </row>
    <row r="167" spans="1:15">
      <c r="G167" s="78"/>
      <c r="H167" s="78"/>
      <c r="I167" s="78"/>
      <c r="J167" s="79"/>
      <c r="K167" s="79"/>
      <c r="L167" s="79"/>
      <c r="M167" s="79"/>
      <c r="N167" s="79"/>
      <c r="O167" s="78"/>
    </row>
    <row r="168" spans="1:15">
      <c r="A168" s="38" t="s">
        <v>814</v>
      </c>
      <c r="B168" s="61" t="s">
        <v>807</v>
      </c>
      <c r="C168" s="21" t="s">
        <v>2161</v>
      </c>
      <c r="D168" s="21">
        <v>1</v>
      </c>
      <c r="E168" s="21" t="s">
        <v>709</v>
      </c>
      <c r="F168" s="21">
        <f t="shared" ref="F168:F176" si="27">IF(G168="fair",0.5,0)+IF(G168="good",0.75,0)+IF(G168="poor",0.25,0)+IF(G168="like new",0.9,0)+IF(G168="new",1,0)</f>
        <v>0.75</v>
      </c>
      <c r="G168" s="21" t="s">
        <v>17</v>
      </c>
      <c r="H168" s="21" t="s">
        <v>710</v>
      </c>
      <c r="I168" s="21" t="s">
        <v>711</v>
      </c>
      <c r="J168" s="21"/>
      <c r="K168" s="21"/>
      <c r="L168" s="21"/>
      <c r="M168" s="22">
        <v>1000</v>
      </c>
      <c r="N168" s="22">
        <f t="shared" ref="N168:N176" si="28">F168*M168</f>
        <v>750</v>
      </c>
      <c r="O168" s="21">
        <v>2003</v>
      </c>
    </row>
    <row r="169" spans="1:15">
      <c r="A169" s="38" t="s">
        <v>814</v>
      </c>
      <c r="B169" s="61" t="s">
        <v>2005</v>
      </c>
      <c r="C169" s="21" t="s">
        <v>2161</v>
      </c>
      <c r="D169" s="21">
        <v>4</v>
      </c>
      <c r="E169" s="21"/>
      <c r="F169" s="21">
        <f t="shared" si="27"/>
        <v>0.75</v>
      </c>
      <c r="G169" s="21" t="s">
        <v>17</v>
      </c>
      <c r="H169" s="21"/>
      <c r="I169" s="21"/>
      <c r="J169" s="21"/>
      <c r="K169" s="21"/>
      <c r="L169" s="21"/>
      <c r="M169" s="22">
        <f>100*4</f>
        <v>400</v>
      </c>
      <c r="N169" s="22">
        <f t="shared" si="28"/>
        <v>300</v>
      </c>
      <c r="O169" s="21"/>
    </row>
    <row r="170" spans="1:15">
      <c r="A170" s="38" t="s">
        <v>814</v>
      </c>
      <c r="B170" s="61" t="s">
        <v>98</v>
      </c>
      <c r="C170" s="21" t="s">
        <v>2161</v>
      </c>
      <c r="D170" s="21">
        <v>4</v>
      </c>
      <c r="E170" s="21" t="s">
        <v>712</v>
      </c>
      <c r="F170" s="21">
        <f t="shared" si="27"/>
        <v>0.75</v>
      </c>
      <c r="G170" s="21" t="s">
        <v>17</v>
      </c>
      <c r="H170" s="21"/>
      <c r="I170" s="21"/>
      <c r="J170" s="21"/>
      <c r="K170" s="21"/>
      <c r="L170" s="21"/>
      <c r="M170" s="22">
        <f>100*4</f>
        <v>400</v>
      </c>
      <c r="N170" s="22">
        <f t="shared" si="28"/>
        <v>300</v>
      </c>
      <c r="O170" s="21"/>
    </row>
    <row r="171" spans="1:15">
      <c r="A171" s="38" t="s">
        <v>814</v>
      </c>
      <c r="B171" s="61" t="s">
        <v>2020</v>
      </c>
      <c r="C171" s="21" t="s">
        <v>2161</v>
      </c>
      <c r="D171" s="21">
        <v>1</v>
      </c>
      <c r="E171" s="21"/>
      <c r="F171" s="21">
        <f t="shared" si="27"/>
        <v>0.75</v>
      </c>
      <c r="G171" s="21" t="s">
        <v>17</v>
      </c>
      <c r="H171" s="21"/>
      <c r="I171" s="21"/>
      <c r="J171" s="21"/>
      <c r="K171" s="21"/>
      <c r="L171" s="21"/>
      <c r="M171" s="22">
        <v>300</v>
      </c>
      <c r="N171" s="22">
        <f t="shared" si="28"/>
        <v>225</v>
      </c>
      <c r="O171" s="21"/>
    </row>
    <row r="172" spans="1:15">
      <c r="A172" s="38" t="s">
        <v>814</v>
      </c>
      <c r="B172" s="61" t="s">
        <v>808</v>
      </c>
      <c r="C172" s="21" t="s">
        <v>2057</v>
      </c>
      <c r="D172" s="21">
        <v>1</v>
      </c>
      <c r="E172" s="21"/>
      <c r="F172" s="21">
        <f t="shared" si="27"/>
        <v>0.25</v>
      </c>
      <c r="G172" s="21" t="s">
        <v>143</v>
      </c>
      <c r="H172" s="21" t="s">
        <v>713</v>
      </c>
      <c r="I172" s="21" t="s">
        <v>809</v>
      </c>
      <c r="J172" s="64"/>
      <c r="K172" s="64"/>
      <c r="L172" s="64"/>
      <c r="M172" s="80">
        <v>1300</v>
      </c>
      <c r="N172" s="22">
        <f t="shared" si="28"/>
        <v>325</v>
      </c>
      <c r="O172" s="21"/>
    </row>
    <row r="173" spans="1:15">
      <c r="A173" s="38" t="s">
        <v>814</v>
      </c>
      <c r="B173" s="61" t="s">
        <v>810</v>
      </c>
      <c r="C173" s="21" t="s">
        <v>2057</v>
      </c>
      <c r="D173" s="21">
        <v>1</v>
      </c>
      <c r="E173" s="21"/>
      <c r="F173" s="21">
        <f t="shared" si="27"/>
        <v>0.25</v>
      </c>
      <c r="G173" s="21" t="s">
        <v>143</v>
      </c>
      <c r="H173" s="21" t="s">
        <v>714</v>
      </c>
      <c r="I173" s="21"/>
      <c r="J173" s="64"/>
      <c r="K173" s="64"/>
      <c r="L173" s="64"/>
      <c r="M173" s="80">
        <v>579</v>
      </c>
      <c r="N173" s="22">
        <f t="shared" si="28"/>
        <v>144.75</v>
      </c>
      <c r="O173" s="21">
        <v>2004</v>
      </c>
    </row>
    <row r="174" spans="1:15">
      <c r="A174" s="38" t="s">
        <v>814</v>
      </c>
      <c r="B174" s="61" t="s">
        <v>811</v>
      </c>
      <c r="C174" s="21" t="s">
        <v>2057</v>
      </c>
      <c r="D174" s="21">
        <v>1</v>
      </c>
      <c r="E174" s="21"/>
      <c r="F174" s="21">
        <f t="shared" si="27"/>
        <v>0</v>
      </c>
      <c r="G174" s="21" t="s">
        <v>715</v>
      </c>
      <c r="H174" s="21" t="s">
        <v>716</v>
      </c>
      <c r="I174" s="21">
        <v>11640523</v>
      </c>
      <c r="J174" s="64"/>
      <c r="K174" s="64"/>
      <c r="L174" s="64"/>
      <c r="M174" s="81">
        <v>600</v>
      </c>
      <c r="N174" s="68">
        <f t="shared" si="28"/>
        <v>0</v>
      </c>
      <c r="O174" s="21"/>
    </row>
    <row r="175" spans="1:15">
      <c r="A175" s="38" t="s">
        <v>814</v>
      </c>
      <c r="B175" s="61" t="s">
        <v>2025</v>
      </c>
      <c r="C175" s="21" t="s">
        <v>2161</v>
      </c>
      <c r="D175" s="21">
        <v>5</v>
      </c>
      <c r="E175" s="21" t="s">
        <v>812</v>
      </c>
      <c r="F175" s="21">
        <f t="shared" si="27"/>
        <v>0.5</v>
      </c>
      <c r="G175" s="21" t="s">
        <v>21</v>
      </c>
      <c r="H175" s="21"/>
      <c r="I175" s="21"/>
      <c r="J175" s="21"/>
      <c r="K175" s="21"/>
      <c r="L175" s="21"/>
      <c r="M175" s="22">
        <f>16*2</f>
        <v>32</v>
      </c>
      <c r="N175" s="22">
        <f t="shared" si="28"/>
        <v>16</v>
      </c>
      <c r="O175" s="21"/>
    </row>
    <row r="176" spans="1:15">
      <c r="A176" s="38" t="s">
        <v>814</v>
      </c>
      <c r="B176" s="61" t="s">
        <v>813</v>
      </c>
      <c r="C176" s="21" t="s">
        <v>2161</v>
      </c>
      <c r="D176" s="21">
        <v>1</v>
      </c>
      <c r="E176" s="21" t="s">
        <v>718</v>
      </c>
      <c r="F176" s="21">
        <f t="shared" si="27"/>
        <v>0.5</v>
      </c>
      <c r="G176" s="21" t="s">
        <v>21</v>
      </c>
      <c r="H176" s="21"/>
      <c r="I176" s="21"/>
      <c r="J176" s="21"/>
      <c r="K176" s="21"/>
      <c r="L176" s="21"/>
      <c r="M176" s="22">
        <v>50</v>
      </c>
      <c r="N176" s="22">
        <f t="shared" si="28"/>
        <v>25</v>
      </c>
      <c r="O176" s="21"/>
    </row>
    <row r="177" spans="1:15">
      <c r="H177" s="78"/>
      <c r="I177" s="78"/>
      <c r="J177" s="79"/>
      <c r="K177" s="79"/>
      <c r="L177" s="79"/>
      <c r="M177" s="79"/>
      <c r="N177" s="79"/>
    </row>
    <row r="178" spans="1:15">
      <c r="A178" s="38" t="s">
        <v>818</v>
      </c>
      <c r="B178" s="61" t="s">
        <v>807</v>
      </c>
      <c r="C178" s="21" t="s">
        <v>2161</v>
      </c>
      <c r="D178" s="21">
        <v>1</v>
      </c>
      <c r="E178" s="21" t="s">
        <v>709</v>
      </c>
      <c r="F178" s="21">
        <f t="shared" ref="F178:F186" si="29">IF(G178="fair",0.5,0)+IF(G178="good",0.75,0)+IF(G178="poor",0.25,0)+IF(G178="like new",0.9,0)+IF(G178="new",1,0)</f>
        <v>0.75</v>
      </c>
      <c r="G178" s="21" t="s">
        <v>17</v>
      </c>
      <c r="H178" s="21" t="s">
        <v>710</v>
      </c>
      <c r="I178" s="21" t="s">
        <v>711</v>
      </c>
      <c r="J178" s="21"/>
      <c r="K178" s="21"/>
      <c r="L178" s="21"/>
      <c r="M178" s="22">
        <v>1000</v>
      </c>
      <c r="N178" s="22">
        <f t="shared" ref="N178:N186" si="30">F178*M178</f>
        <v>750</v>
      </c>
      <c r="O178" s="21">
        <v>2003</v>
      </c>
    </row>
    <row r="179" spans="1:15">
      <c r="A179" s="38" t="s">
        <v>818</v>
      </c>
      <c r="B179" s="61" t="s">
        <v>2020</v>
      </c>
      <c r="C179" s="21" t="s">
        <v>2161</v>
      </c>
      <c r="D179" s="21">
        <v>1</v>
      </c>
      <c r="E179" s="21"/>
      <c r="F179" s="21">
        <f t="shared" si="29"/>
        <v>0.75</v>
      </c>
      <c r="G179" s="21" t="s">
        <v>17</v>
      </c>
      <c r="H179" s="21"/>
      <c r="I179" s="21"/>
      <c r="J179" s="21"/>
      <c r="K179" s="21"/>
      <c r="L179" s="21"/>
      <c r="M179" s="22">
        <v>300</v>
      </c>
      <c r="N179" s="22">
        <f t="shared" si="30"/>
        <v>225</v>
      </c>
      <c r="O179" s="21"/>
    </row>
    <row r="180" spans="1:15">
      <c r="A180" s="38" t="s">
        <v>818</v>
      </c>
      <c r="B180" s="61" t="s">
        <v>2416</v>
      </c>
      <c r="C180" s="21" t="s">
        <v>2161</v>
      </c>
      <c r="D180" s="21">
        <v>4</v>
      </c>
      <c r="E180" s="21"/>
      <c r="F180" s="21">
        <f t="shared" si="29"/>
        <v>0.75</v>
      </c>
      <c r="G180" s="21" t="s">
        <v>17</v>
      </c>
      <c r="H180" s="21"/>
      <c r="I180" s="21"/>
      <c r="J180" s="21"/>
      <c r="K180" s="21"/>
      <c r="L180" s="21"/>
      <c r="M180" s="22">
        <f>100*4</f>
        <v>400</v>
      </c>
      <c r="N180" s="22">
        <f t="shared" si="30"/>
        <v>300</v>
      </c>
      <c r="O180" s="21"/>
    </row>
    <row r="181" spans="1:15">
      <c r="A181" s="38" t="s">
        <v>818</v>
      </c>
      <c r="B181" s="61" t="s">
        <v>98</v>
      </c>
      <c r="C181" s="21" t="s">
        <v>2161</v>
      </c>
      <c r="D181" s="21">
        <v>4</v>
      </c>
      <c r="E181" s="21" t="s">
        <v>712</v>
      </c>
      <c r="F181" s="21">
        <f t="shared" si="29"/>
        <v>0.75</v>
      </c>
      <c r="G181" s="21" t="s">
        <v>17</v>
      </c>
      <c r="H181" s="21"/>
      <c r="I181" s="21"/>
      <c r="J181" s="21"/>
      <c r="K181" s="21"/>
      <c r="L181" s="21"/>
      <c r="M181" s="22">
        <f>100*4</f>
        <v>400</v>
      </c>
      <c r="N181" s="22">
        <f t="shared" si="30"/>
        <v>300</v>
      </c>
      <c r="O181" s="21"/>
    </row>
    <row r="182" spans="1:15">
      <c r="A182" s="38" t="s">
        <v>818</v>
      </c>
      <c r="B182" s="61" t="s">
        <v>808</v>
      </c>
      <c r="C182" s="21" t="s">
        <v>2057</v>
      </c>
      <c r="D182" s="21">
        <v>1</v>
      </c>
      <c r="E182" s="21"/>
      <c r="F182" s="21">
        <f t="shared" si="29"/>
        <v>0.25</v>
      </c>
      <c r="G182" s="21" t="s">
        <v>143</v>
      </c>
      <c r="H182" s="21"/>
      <c r="I182" s="21" t="s">
        <v>815</v>
      </c>
      <c r="J182" s="64"/>
      <c r="K182" s="64"/>
      <c r="L182" s="64"/>
      <c r="M182" s="80">
        <v>1300</v>
      </c>
      <c r="N182" s="22">
        <f t="shared" si="30"/>
        <v>325</v>
      </c>
      <c r="O182" s="145" t="s">
        <v>2186</v>
      </c>
    </row>
    <row r="183" spans="1:15" ht="31.5">
      <c r="A183" s="38" t="s">
        <v>818</v>
      </c>
      <c r="B183" s="61" t="s">
        <v>810</v>
      </c>
      <c r="C183" s="21" t="s">
        <v>2057</v>
      </c>
      <c r="D183" s="21">
        <v>1</v>
      </c>
      <c r="E183" s="21"/>
      <c r="F183" s="21">
        <f t="shared" si="29"/>
        <v>0.75</v>
      </c>
      <c r="G183" s="21" t="s">
        <v>17</v>
      </c>
      <c r="H183" s="21" t="s">
        <v>816</v>
      </c>
      <c r="I183" s="21"/>
      <c r="J183" s="64"/>
      <c r="K183" s="64"/>
      <c r="L183" s="64"/>
      <c r="M183" s="80">
        <v>1119</v>
      </c>
      <c r="N183" s="22">
        <f t="shared" si="30"/>
        <v>839.25</v>
      </c>
      <c r="O183" s="120">
        <v>45027</v>
      </c>
    </row>
    <row r="184" spans="1:15">
      <c r="A184" s="38" t="s">
        <v>818</v>
      </c>
      <c r="B184" s="61" t="s">
        <v>811</v>
      </c>
      <c r="C184" s="21" t="s">
        <v>2057</v>
      </c>
      <c r="D184" s="21">
        <v>1</v>
      </c>
      <c r="E184" s="21"/>
      <c r="F184" s="21">
        <f t="shared" si="29"/>
        <v>0</v>
      </c>
      <c r="G184" s="21" t="s">
        <v>715</v>
      </c>
      <c r="H184" s="21" t="s">
        <v>817</v>
      </c>
      <c r="I184" s="21"/>
      <c r="J184" s="64"/>
      <c r="K184" s="64"/>
      <c r="L184" s="64"/>
      <c r="M184" s="80">
        <v>600</v>
      </c>
      <c r="N184" s="68">
        <f t="shared" si="30"/>
        <v>0</v>
      </c>
      <c r="O184" s="21"/>
    </row>
    <row r="185" spans="1:15">
      <c r="A185" s="38" t="s">
        <v>818</v>
      </c>
      <c r="B185" s="61" t="s">
        <v>717</v>
      </c>
      <c r="C185" s="21" t="s">
        <v>2161</v>
      </c>
      <c r="D185" s="21">
        <v>4</v>
      </c>
      <c r="E185" s="21" t="s">
        <v>2407</v>
      </c>
      <c r="F185" s="21">
        <f t="shared" si="29"/>
        <v>0.5</v>
      </c>
      <c r="G185" s="21" t="s">
        <v>21</v>
      </c>
      <c r="H185" s="21"/>
      <c r="I185" s="21"/>
      <c r="J185" s="21"/>
      <c r="K185" s="21"/>
      <c r="L185" s="21"/>
      <c r="M185" s="22">
        <f>16*2</f>
        <v>32</v>
      </c>
      <c r="N185" s="22">
        <f t="shared" si="30"/>
        <v>16</v>
      </c>
      <c r="O185" s="21"/>
    </row>
    <row r="186" spans="1:15">
      <c r="A186" s="38" t="s">
        <v>818</v>
      </c>
      <c r="B186" s="61" t="s">
        <v>813</v>
      </c>
      <c r="C186" s="21" t="s">
        <v>2161</v>
      </c>
      <c r="D186" s="21">
        <v>1</v>
      </c>
      <c r="E186" s="21" t="s">
        <v>718</v>
      </c>
      <c r="F186" s="21">
        <f t="shared" si="29"/>
        <v>0.5</v>
      </c>
      <c r="G186" s="21" t="s">
        <v>21</v>
      </c>
      <c r="H186" s="21"/>
      <c r="I186" s="21"/>
      <c r="J186" s="21"/>
      <c r="K186" s="21"/>
      <c r="L186" s="21"/>
      <c r="M186" s="22">
        <v>50</v>
      </c>
      <c r="N186" s="22">
        <f t="shared" si="30"/>
        <v>25</v>
      </c>
      <c r="O186" s="21"/>
    </row>
    <row r="187" spans="1:15">
      <c r="H187" s="78"/>
      <c r="I187" s="78"/>
      <c r="J187" s="79"/>
      <c r="K187" s="79"/>
      <c r="L187" s="79"/>
      <c r="M187" s="79"/>
      <c r="N187" s="79"/>
    </row>
    <row r="188" spans="1:15">
      <c r="A188" s="38" t="s">
        <v>832</v>
      </c>
      <c r="B188" s="61" t="s">
        <v>807</v>
      </c>
      <c r="C188" s="21" t="s">
        <v>2161</v>
      </c>
      <c r="D188" s="21">
        <v>1</v>
      </c>
      <c r="E188" s="21" t="s">
        <v>709</v>
      </c>
      <c r="F188" s="21">
        <f t="shared" ref="F188:F196" si="31">IF(G188="fair",0.5,0)+IF(G188="good",0.75,0)+IF(G188="poor",0.25,0)+IF(G188="like new",0.9,0)+IF(G188="new",1,0)</f>
        <v>0.75</v>
      </c>
      <c r="G188" s="21" t="s">
        <v>17</v>
      </c>
      <c r="H188" s="21" t="s">
        <v>710</v>
      </c>
      <c r="I188" s="21" t="s">
        <v>711</v>
      </c>
      <c r="J188" s="21"/>
      <c r="K188" s="21"/>
      <c r="L188" s="21"/>
      <c r="M188" s="22">
        <v>1000</v>
      </c>
      <c r="N188" s="22">
        <f t="shared" ref="N188:N196" si="32">F188*M188</f>
        <v>750</v>
      </c>
      <c r="O188" s="21">
        <v>2003</v>
      </c>
    </row>
    <row r="189" spans="1:15">
      <c r="A189" s="38" t="s">
        <v>832</v>
      </c>
      <c r="B189" s="61" t="s">
        <v>2020</v>
      </c>
      <c r="C189" s="21" t="s">
        <v>2161</v>
      </c>
      <c r="D189" s="21">
        <v>1</v>
      </c>
      <c r="E189" s="21"/>
      <c r="F189" s="21">
        <f t="shared" si="31"/>
        <v>0.75</v>
      </c>
      <c r="G189" s="21" t="s">
        <v>17</v>
      </c>
      <c r="H189" s="21"/>
      <c r="I189" s="21"/>
      <c r="J189" s="21"/>
      <c r="K189" s="21"/>
      <c r="L189" s="21"/>
      <c r="M189" s="22">
        <v>300</v>
      </c>
      <c r="N189" s="22">
        <f t="shared" si="32"/>
        <v>225</v>
      </c>
      <c r="O189" s="21"/>
    </row>
    <row r="190" spans="1:15">
      <c r="A190" s="38" t="s">
        <v>832</v>
      </c>
      <c r="B190" s="61" t="s">
        <v>2416</v>
      </c>
      <c r="C190" s="21" t="s">
        <v>2161</v>
      </c>
      <c r="D190" s="21">
        <v>4</v>
      </c>
      <c r="E190" s="21"/>
      <c r="F190" s="21">
        <f t="shared" si="31"/>
        <v>0.75</v>
      </c>
      <c r="G190" s="21" t="s">
        <v>17</v>
      </c>
      <c r="H190" s="21"/>
      <c r="I190" s="21"/>
      <c r="J190" s="21"/>
      <c r="K190" s="21"/>
      <c r="L190" s="21"/>
      <c r="M190" s="22">
        <f>100*4</f>
        <v>400</v>
      </c>
      <c r="N190" s="22">
        <f t="shared" si="32"/>
        <v>300</v>
      </c>
      <c r="O190" s="21"/>
    </row>
    <row r="191" spans="1:15">
      <c r="A191" s="38" t="s">
        <v>832</v>
      </c>
      <c r="B191" s="61" t="s">
        <v>98</v>
      </c>
      <c r="C191" s="21" t="s">
        <v>2161</v>
      </c>
      <c r="D191" s="21">
        <v>4</v>
      </c>
      <c r="E191" s="21" t="s">
        <v>712</v>
      </c>
      <c r="F191" s="21">
        <f t="shared" si="31"/>
        <v>0.75</v>
      </c>
      <c r="G191" s="21" t="s">
        <v>17</v>
      </c>
      <c r="H191" s="21"/>
      <c r="I191" s="21"/>
      <c r="J191" s="21"/>
      <c r="K191" s="21"/>
      <c r="L191" s="21"/>
      <c r="M191" s="22">
        <f>100*4</f>
        <v>400</v>
      </c>
      <c r="N191" s="22">
        <f t="shared" si="32"/>
        <v>300</v>
      </c>
      <c r="O191" s="21"/>
    </row>
    <row r="192" spans="1:15">
      <c r="A192" s="38" t="s">
        <v>832</v>
      </c>
      <c r="B192" s="61" t="s">
        <v>808</v>
      </c>
      <c r="C192" s="21" t="s">
        <v>2057</v>
      </c>
      <c r="D192" s="21">
        <v>1</v>
      </c>
      <c r="E192" s="21" t="s">
        <v>844</v>
      </c>
      <c r="F192" s="21">
        <f t="shared" si="31"/>
        <v>0.25</v>
      </c>
      <c r="G192" s="21" t="s">
        <v>143</v>
      </c>
      <c r="H192" s="21" t="s">
        <v>713</v>
      </c>
      <c r="I192" s="21"/>
      <c r="J192" s="64"/>
      <c r="K192" s="64"/>
      <c r="L192" s="64"/>
      <c r="M192" s="80">
        <v>1300</v>
      </c>
      <c r="N192" s="22">
        <f t="shared" si="32"/>
        <v>325</v>
      </c>
      <c r="O192" s="145" t="s">
        <v>2187</v>
      </c>
    </row>
    <row r="193" spans="1:15">
      <c r="A193" s="38" t="s">
        <v>832</v>
      </c>
      <c r="B193" s="61" t="s">
        <v>810</v>
      </c>
      <c r="C193" s="21" t="s">
        <v>2057</v>
      </c>
      <c r="D193" s="21">
        <v>1</v>
      </c>
      <c r="E193" s="21"/>
      <c r="F193" s="21">
        <f t="shared" si="31"/>
        <v>0.25</v>
      </c>
      <c r="G193" s="21" t="s">
        <v>143</v>
      </c>
      <c r="H193" s="21" t="s">
        <v>714</v>
      </c>
      <c r="I193" s="21"/>
      <c r="J193" s="64"/>
      <c r="K193" s="64"/>
      <c r="L193" s="64"/>
      <c r="M193" s="80">
        <v>579</v>
      </c>
      <c r="N193" s="22">
        <f t="shared" si="32"/>
        <v>144.75</v>
      </c>
      <c r="O193" s="21">
        <v>2004</v>
      </c>
    </row>
    <row r="194" spans="1:15">
      <c r="A194" s="38" t="s">
        <v>832</v>
      </c>
      <c r="B194" s="61" t="s">
        <v>811</v>
      </c>
      <c r="C194" s="21" t="s">
        <v>2057</v>
      </c>
      <c r="D194" s="21">
        <v>1</v>
      </c>
      <c r="E194" s="21"/>
      <c r="F194" s="21">
        <f t="shared" si="31"/>
        <v>0</v>
      </c>
      <c r="G194" s="21"/>
      <c r="H194" s="21" t="s">
        <v>845</v>
      </c>
      <c r="I194" s="21"/>
      <c r="J194" s="64"/>
      <c r="K194" s="64"/>
      <c r="L194" s="64"/>
      <c r="M194" s="81">
        <v>600</v>
      </c>
      <c r="N194" s="22">
        <f t="shared" si="32"/>
        <v>0</v>
      </c>
      <c r="O194" s="21"/>
    </row>
    <row r="195" spans="1:15">
      <c r="A195" s="38" t="s">
        <v>832</v>
      </c>
      <c r="B195" s="61" t="s">
        <v>717</v>
      </c>
      <c r="C195" s="21" t="s">
        <v>2161</v>
      </c>
      <c r="D195" s="21">
        <v>5</v>
      </c>
      <c r="E195" s="21" t="s">
        <v>846</v>
      </c>
      <c r="F195" s="21">
        <f t="shared" si="31"/>
        <v>0.5</v>
      </c>
      <c r="G195" s="21" t="s">
        <v>21</v>
      </c>
      <c r="H195" s="21"/>
      <c r="I195" s="21"/>
      <c r="J195" s="21"/>
      <c r="K195" s="21"/>
      <c r="L195" s="21"/>
      <c r="M195" s="22">
        <f>16*2</f>
        <v>32</v>
      </c>
      <c r="N195" s="22">
        <f t="shared" si="32"/>
        <v>16</v>
      </c>
      <c r="O195" s="21"/>
    </row>
    <row r="196" spans="1:15">
      <c r="A196" s="38" t="s">
        <v>832</v>
      </c>
      <c r="B196" s="61" t="s">
        <v>813</v>
      </c>
      <c r="C196" s="21" t="s">
        <v>2161</v>
      </c>
      <c r="D196" s="21">
        <v>1</v>
      </c>
      <c r="E196" s="21" t="s">
        <v>718</v>
      </c>
      <c r="F196" s="21">
        <f t="shared" si="31"/>
        <v>0.5</v>
      </c>
      <c r="G196" s="21" t="s">
        <v>21</v>
      </c>
      <c r="H196" s="21"/>
      <c r="I196" s="21"/>
      <c r="J196" s="21"/>
      <c r="K196" s="21"/>
      <c r="L196" s="21"/>
      <c r="M196" s="22">
        <v>50</v>
      </c>
      <c r="N196" s="22">
        <f t="shared" si="32"/>
        <v>25</v>
      </c>
      <c r="O196" s="21"/>
    </row>
    <row r="198" spans="1:15">
      <c r="A198" s="38" t="s">
        <v>849</v>
      </c>
      <c r="B198" s="61" t="s">
        <v>553</v>
      </c>
      <c r="C198" s="21" t="s">
        <v>2161</v>
      </c>
      <c r="D198" s="21">
        <v>4</v>
      </c>
      <c r="E198" s="21" t="s">
        <v>2408</v>
      </c>
      <c r="F198" s="21">
        <f t="shared" ref="F198:F205" si="33">IF(G198="fair",0.5,0)+IF(G198="good",0.75,0)+IF(G198="poor",0.25,0)+IF(G198="like new",0.9,0)+IF(G198="new",1,0)</f>
        <v>0.5</v>
      </c>
      <c r="G198" s="21" t="s">
        <v>29</v>
      </c>
      <c r="H198" s="21"/>
      <c r="I198" s="21"/>
      <c r="J198" s="21"/>
      <c r="K198" s="21"/>
      <c r="L198" s="21"/>
      <c r="M198" s="68">
        <f>50*2</f>
        <v>100</v>
      </c>
      <c r="N198" s="68">
        <f t="shared" ref="N198:N205" si="34">F198*M198</f>
        <v>50</v>
      </c>
      <c r="O198" s="21"/>
    </row>
    <row r="199" spans="1:15">
      <c r="A199" s="38" t="s">
        <v>849</v>
      </c>
      <c r="B199" s="61" t="s">
        <v>2027</v>
      </c>
      <c r="C199" s="21" t="s">
        <v>2161</v>
      </c>
      <c r="D199" s="21">
        <v>1</v>
      </c>
      <c r="E199" s="21" t="s">
        <v>914</v>
      </c>
      <c r="F199" s="21">
        <f t="shared" si="33"/>
        <v>0.5</v>
      </c>
      <c r="G199" s="21" t="s">
        <v>29</v>
      </c>
      <c r="H199" s="21"/>
      <c r="I199" s="21"/>
      <c r="J199" s="21"/>
      <c r="K199" s="21">
        <v>57</v>
      </c>
      <c r="L199" s="21">
        <v>28</v>
      </c>
      <c r="M199" s="68">
        <v>100</v>
      </c>
      <c r="N199" s="68">
        <f t="shared" si="34"/>
        <v>50</v>
      </c>
      <c r="O199" s="21"/>
    </row>
    <row r="200" spans="1:15" ht="18" customHeight="1">
      <c r="A200" s="38" t="s">
        <v>849</v>
      </c>
      <c r="B200" s="61" t="s">
        <v>2416</v>
      </c>
      <c r="C200" s="21" t="s">
        <v>2161</v>
      </c>
      <c r="D200" s="21">
        <v>1</v>
      </c>
      <c r="E200" s="21"/>
      <c r="F200" s="21">
        <f t="shared" si="33"/>
        <v>0.75</v>
      </c>
      <c r="G200" s="21" t="s">
        <v>17</v>
      </c>
      <c r="H200" s="21"/>
      <c r="I200" s="21"/>
      <c r="J200" s="21"/>
      <c r="K200" s="21"/>
      <c r="L200" s="21"/>
      <c r="M200" s="22">
        <v>100</v>
      </c>
      <c r="N200" s="68">
        <f t="shared" si="34"/>
        <v>75</v>
      </c>
      <c r="O200" s="21"/>
    </row>
    <row r="201" spans="1:15">
      <c r="A201" s="38" t="s">
        <v>849</v>
      </c>
      <c r="B201" s="61" t="s">
        <v>915</v>
      </c>
      <c r="C201" s="21" t="s">
        <v>2161</v>
      </c>
      <c r="D201" s="21">
        <v>1</v>
      </c>
      <c r="E201" s="21" t="s">
        <v>916</v>
      </c>
      <c r="F201" s="21">
        <f t="shared" si="33"/>
        <v>0.75</v>
      </c>
      <c r="G201" s="21" t="s">
        <v>17</v>
      </c>
      <c r="H201" s="21"/>
      <c r="I201" s="21"/>
      <c r="J201" s="21"/>
      <c r="K201" s="21"/>
      <c r="L201" s="21"/>
      <c r="M201" s="22">
        <v>100</v>
      </c>
      <c r="N201" s="68">
        <f t="shared" si="34"/>
        <v>75</v>
      </c>
      <c r="O201" s="21"/>
    </row>
    <row r="202" spans="1:15">
      <c r="A202" s="38" t="s">
        <v>849</v>
      </c>
      <c r="B202" s="61" t="s">
        <v>917</v>
      </c>
      <c r="C202" s="21" t="s">
        <v>2161</v>
      </c>
      <c r="D202" s="21">
        <v>1</v>
      </c>
      <c r="E202" s="73" t="s">
        <v>310</v>
      </c>
      <c r="F202" s="21">
        <f t="shared" si="33"/>
        <v>0.75</v>
      </c>
      <c r="G202" s="21" t="s">
        <v>17</v>
      </c>
      <c r="H202" s="21" t="s">
        <v>918</v>
      </c>
      <c r="I202" s="21"/>
      <c r="J202" s="21"/>
      <c r="K202" s="21"/>
      <c r="L202" s="21"/>
      <c r="M202" s="22">
        <v>1000</v>
      </c>
      <c r="N202" s="68">
        <f t="shared" si="34"/>
        <v>750</v>
      </c>
      <c r="O202" s="21"/>
    </row>
    <row r="203" spans="1:15">
      <c r="A203" s="38" t="s">
        <v>849</v>
      </c>
      <c r="B203" s="61" t="s">
        <v>803</v>
      </c>
      <c r="C203" s="21" t="s">
        <v>2161</v>
      </c>
      <c r="D203" s="21">
        <v>1</v>
      </c>
      <c r="E203" s="21"/>
      <c r="F203" s="21">
        <f t="shared" si="33"/>
        <v>0.75</v>
      </c>
      <c r="G203" s="21" t="s">
        <v>17</v>
      </c>
      <c r="H203" s="21" t="s">
        <v>919</v>
      </c>
      <c r="I203" s="21"/>
      <c r="J203" s="21"/>
      <c r="K203" s="21"/>
      <c r="L203" s="21"/>
      <c r="M203" s="22">
        <f>16*3</f>
        <v>48</v>
      </c>
      <c r="N203" s="22">
        <f t="shared" si="34"/>
        <v>36</v>
      </c>
      <c r="O203" s="21"/>
    </row>
    <row r="204" spans="1:15">
      <c r="A204" s="38" t="s">
        <v>849</v>
      </c>
      <c r="B204" s="61" t="s">
        <v>548</v>
      </c>
      <c r="C204" s="21" t="s">
        <v>2161</v>
      </c>
      <c r="D204" s="21">
        <v>1</v>
      </c>
      <c r="E204" s="21"/>
      <c r="F204" s="21">
        <f t="shared" si="33"/>
        <v>0.75</v>
      </c>
      <c r="G204" s="21" t="s">
        <v>17</v>
      </c>
      <c r="H204" s="21" t="s">
        <v>920</v>
      </c>
      <c r="I204" s="21"/>
      <c r="J204" s="21"/>
      <c r="K204" s="21"/>
      <c r="L204" s="21"/>
      <c r="M204" s="80">
        <v>310</v>
      </c>
      <c r="N204" s="22">
        <f t="shared" si="34"/>
        <v>232.5</v>
      </c>
      <c r="O204" s="21"/>
    </row>
    <row r="205" spans="1:15" ht="18" customHeight="1">
      <c r="A205" s="38" t="s">
        <v>849</v>
      </c>
      <c r="B205" s="61" t="s">
        <v>296</v>
      </c>
      <c r="C205" s="21" t="s">
        <v>39</v>
      </c>
      <c r="D205" s="21">
        <v>1</v>
      </c>
      <c r="E205" s="21" t="s">
        <v>2140</v>
      </c>
      <c r="F205" s="21">
        <f t="shared" si="33"/>
        <v>0.75</v>
      </c>
      <c r="G205" s="21" t="s">
        <v>16</v>
      </c>
      <c r="H205" s="21"/>
      <c r="I205" s="21" t="s">
        <v>847</v>
      </c>
      <c r="J205" s="21" t="s">
        <v>848</v>
      </c>
      <c r="K205" s="21">
        <v>16</v>
      </c>
      <c r="L205" s="21">
        <v>29.5</v>
      </c>
      <c r="M205" s="68">
        <v>200</v>
      </c>
      <c r="N205" s="68">
        <f t="shared" si="34"/>
        <v>150</v>
      </c>
      <c r="O205" s="120">
        <v>42705</v>
      </c>
    </row>
    <row r="207" spans="1:15" ht="18" customHeight="1">
      <c r="A207" s="38" t="s">
        <v>928</v>
      </c>
      <c r="B207" s="61" t="s">
        <v>2028</v>
      </c>
      <c r="C207" s="21" t="s">
        <v>2161</v>
      </c>
      <c r="D207" s="21">
        <v>1</v>
      </c>
      <c r="E207" s="21" t="s">
        <v>921</v>
      </c>
      <c r="F207" s="21">
        <f t="shared" ref="F207:F214" si="35">IF(G207="fair",0.5,0)+IF(G207="good",0.75,0)+IF(G207="poor",0.25,0)+IF(G207="like new",0.9,0)+IF(G207="new",1,0)</f>
        <v>0.75</v>
      </c>
      <c r="G207" s="21" t="s">
        <v>16</v>
      </c>
      <c r="H207" s="21"/>
      <c r="I207" s="21"/>
      <c r="J207" s="21"/>
      <c r="K207" s="21">
        <v>10</v>
      </c>
      <c r="L207" s="21">
        <v>1</v>
      </c>
      <c r="M207" s="22">
        <v>900</v>
      </c>
      <c r="N207" s="22">
        <f>F207*M207</f>
        <v>675</v>
      </c>
      <c r="O207" s="21"/>
    </row>
    <row r="208" spans="1:15">
      <c r="A208" s="38" t="s">
        <v>928</v>
      </c>
      <c r="B208" s="61" t="s">
        <v>2011</v>
      </c>
      <c r="C208" s="21" t="s">
        <v>2161</v>
      </c>
      <c r="D208" s="21">
        <v>1</v>
      </c>
      <c r="E208" s="21" t="s">
        <v>922</v>
      </c>
      <c r="F208" s="21">
        <f t="shared" si="35"/>
        <v>0.75</v>
      </c>
      <c r="G208" s="21" t="s">
        <v>17</v>
      </c>
      <c r="H208" s="21" t="s">
        <v>627</v>
      </c>
      <c r="I208" s="21" t="s">
        <v>923</v>
      </c>
      <c r="J208" s="21"/>
      <c r="K208" s="21"/>
      <c r="L208" s="21"/>
      <c r="M208" s="22">
        <v>190</v>
      </c>
      <c r="N208" s="22">
        <f>F208*M208</f>
        <v>142.5</v>
      </c>
      <c r="O208" s="21"/>
    </row>
    <row r="209" spans="1:16">
      <c r="A209" s="38" t="s">
        <v>928</v>
      </c>
      <c r="B209" s="61" t="s">
        <v>924</v>
      </c>
      <c r="C209" s="21" t="s">
        <v>2161</v>
      </c>
      <c r="D209" s="21" t="s">
        <v>925</v>
      </c>
      <c r="E209" s="21"/>
      <c r="F209" s="21">
        <f t="shared" si="35"/>
        <v>0.75</v>
      </c>
      <c r="G209" s="21" t="s">
        <v>17</v>
      </c>
      <c r="H209" s="21"/>
      <c r="I209" s="21"/>
      <c r="J209" s="21"/>
      <c r="K209" s="21"/>
      <c r="L209" s="21"/>
      <c r="M209" s="22">
        <f>100*4</f>
        <v>400</v>
      </c>
      <c r="N209" s="22">
        <f>F209*M209</f>
        <v>300</v>
      </c>
      <c r="O209" s="21"/>
    </row>
    <row r="210" spans="1:16">
      <c r="A210" s="38" t="s">
        <v>928</v>
      </c>
      <c r="B210" s="61" t="s">
        <v>2029</v>
      </c>
      <c r="C210" s="21" t="s">
        <v>2161</v>
      </c>
      <c r="D210" s="21">
        <v>3</v>
      </c>
      <c r="E210" s="21" t="s">
        <v>926</v>
      </c>
      <c r="F210" s="21">
        <f t="shared" si="35"/>
        <v>0.75</v>
      </c>
      <c r="G210" s="21" t="s">
        <v>17</v>
      </c>
      <c r="H210" s="21"/>
      <c r="I210" s="21"/>
      <c r="J210" s="21"/>
      <c r="K210" s="21"/>
      <c r="L210" s="21"/>
      <c r="M210" s="22">
        <f>100*3</f>
        <v>300</v>
      </c>
      <c r="N210" s="22">
        <f>F210*M210</f>
        <v>225</v>
      </c>
      <c r="O210" s="21"/>
    </row>
    <row r="211" spans="1:16">
      <c r="A211" s="38" t="s">
        <v>928</v>
      </c>
      <c r="B211" s="61" t="s">
        <v>2144</v>
      </c>
      <c r="C211" s="21"/>
      <c r="D211" s="21"/>
      <c r="E211" s="21"/>
      <c r="F211" s="21">
        <f t="shared" si="35"/>
        <v>0</v>
      </c>
      <c r="G211" s="21"/>
      <c r="H211" s="21"/>
      <c r="I211" s="21"/>
      <c r="J211" s="21"/>
      <c r="K211" s="21"/>
      <c r="L211" s="21"/>
      <c r="M211" s="21" t="s">
        <v>120</v>
      </c>
      <c r="N211" s="21"/>
      <c r="O211" s="21"/>
      <c r="P211" s="82"/>
    </row>
    <row r="212" spans="1:16">
      <c r="A212" s="38" t="s">
        <v>928</v>
      </c>
      <c r="B212" s="61" t="s">
        <v>811</v>
      </c>
      <c r="C212" s="21" t="s">
        <v>2057</v>
      </c>
      <c r="D212" s="21">
        <v>1</v>
      </c>
      <c r="E212" s="21"/>
      <c r="F212" s="21">
        <f t="shared" si="35"/>
        <v>0</v>
      </c>
      <c r="G212" s="21" t="s">
        <v>715</v>
      </c>
      <c r="H212" s="21" t="s">
        <v>817</v>
      </c>
      <c r="I212" s="21"/>
      <c r="J212" s="21"/>
      <c r="K212" s="21"/>
      <c r="L212" s="21"/>
      <c r="M212" s="22">
        <v>600</v>
      </c>
      <c r="N212" s="22">
        <f>F212*M212</f>
        <v>0</v>
      </c>
      <c r="O212" s="21"/>
    </row>
    <row r="213" spans="1:16" s="7" customFormat="1" ht="18" customHeight="1">
      <c r="A213" s="18" t="s">
        <v>928</v>
      </c>
      <c r="B213" s="154" t="s">
        <v>950</v>
      </c>
      <c r="C213" s="2" t="s">
        <v>2161</v>
      </c>
      <c r="D213" s="2">
        <v>8</v>
      </c>
      <c r="E213" s="2" t="s">
        <v>2468</v>
      </c>
      <c r="F213" s="1">
        <f>IF(G213="fair",0.5,0)+IF(G213="good",0.75,0)+IF(G213="poor",0.25,0)+IF(G213="like new",0.9,0)+IF(G213="new",1,0)</f>
        <v>0.75</v>
      </c>
      <c r="G213" s="2" t="s">
        <v>17</v>
      </c>
      <c r="H213" s="15"/>
      <c r="I213" s="15"/>
      <c r="J213" s="15"/>
      <c r="K213" s="2"/>
      <c r="L213" s="2"/>
      <c r="M213" s="10">
        <f>410</f>
        <v>410</v>
      </c>
      <c r="N213" s="10">
        <f>F213*M213</f>
        <v>307.5</v>
      </c>
      <c r="O213" s="2"/>
    </row>
    <row r="214" spans="1:16" ht="39.75" customHeight="1">
      <c r="A214" s="38" t="s">
        <v>928</v>
      </c>
      <c r="B214" s="61" t="s">
        <v>927</v>
      </c>
      <c r="C214" s="21" t="s">
        <v>2161</v>
      </c>
      <c r="D214" s="21">
        <v>3</v>
      </c>
      <c r="E214" s="21" t="s">
        <v>2469</v>
      </c>
      <c r="F214" s="21">
        <f t="shared" si="35"/>
        <v>0.75</v>
      </c>
      <c r="G214" s="21" t="s">
        <v>17</v>
      </c>
      <c r="H214" s="21"/>
      <c r="I214" s="21"/>
      <c r="J214" s="64"/>
      <c r="K214" s="21"/>
      <c r="L214" s="21"/>
      <c r="M214" s="22">
        <f>1000+250*2</f>
        <v>1500</v>
      </c>
      <c r="N214" s="22">
        <f>F214*M214</f>
        <v>1125</v>
      </c>
      <c r="O214" s="21"/>
    </row>
    <row r="216" spans="1:16" ht="18" customHeight="1">
      <c r="A216" s="83" t="s">
        <v>967</v>
      </c>
      <c r="B216" s="61" t="s">
        <v>2030</v>
      </c>
      <c r="C216" s="21" t="s">
        <v>2161</v>
      </c>
      <c r="D216" s="21">
        <v>3</v>
      </c>
      <c r="E216" s="21" t="s">
        <v>968</v>
      </c>
      <c r="F216" s="21">
        <f t="shared" ref="F216:F225" si="36">IF(G216="fair",0.5,0)+IF(G216="good",0.75,0)+IF(G216="poor",0.25,0)+IF(G216="like new",0.9,0)+IF(G216="new",1,0)</f>
        <v>0.25</v>
      </c>
      <c r="G216" s="21" t="s">
        <v>143</v>
      </c>
      <c r="H216" s="21"/>
      <c r="I216" s="21"/>
      <c r="J216" s="21"/>
      <c r="K216" s="21" t="s">
        <v>969</v>
      </c>
      <c r="L216" s="21">
        <v>3</v>
      </c>
      <c r="M216" s="22">
        <f>400*3</f>
        <v>1200</v>
      </c>
      <c r="N216" s="22">
        <f t="shared" ref="N216:N225" si="37">F216*M216</f>
        <v>300</v>
      </c>
      <c r="O216" s="21"/>
    </row>
    <row r="217" spans="1:16" ht="18" customHeight="1">
      <c r="A217" s="83" t="s">
        <v>967</v>
      </c>
      <c r="B217" s="61" t="s">
        <v>2031</v>
      </c>
      <c r="C217" s="21" t="s">
        <v>2161</v>
      </c>
      <c r="D217" s="21">
        <v>1</v>
      </c>
      <c r="E217" s="21" t="s">
        <v>970</v>
      </c>
      <c r="F217" s="21">
        <f t="shared" si="36"/>
        <v>0.5</v>
      </c>
      <c r="G217" s="21" t="s">
        <v>21</v>
      </c>
      <c r="H217" s="21"/>
      <c r="I217" s="21"/>
      <c r="J217" s="21"/>
      <c r="K217" s="21" t="s">
        <v>971</v>
      </c>
      <c r="L217" s="21"/>
      <c r="M217" s="22">
        <v>1000</v>
      </c>
      <c r="N217" s="22">
        <f t="shared" si="37"/>
        <v>500</v>
      </c>
      <c r="O217" s="21">
        <v>2010</v>
      </c>
    </row>
    <row r="218" spans="1:16" ht="18" customHeight="1">
      <c r="A218" s="83" t="s">
        <v>967</v>
      </c>
      <c r="B218" s="61" t="s">
        <v>2032</v>
      </c>
      <c r="C218" s="21" t="s">
        <v>2161</v>
      </c>
      <c r="D218" s="21">
        <v>1</v>
      </c>
      <c r="E218" s="21" t="s">
        <v>972</v>
      </c>
      <c r="F218" s="21">
        <f t="shared" si="36"/>
        <v>0.75</v>
      </c>
      <c r="G218" s="21" t="s">
        <v>17</v>
      </c>
      <c r="H218" s="21"/>
      <c r="I218" s="21"/>
      <c r="J218" s="21"/>
      <c r="K218" s="21">
        <v>7</v>
      </c>
      <c r="L218" s="21">
        <v>3</v>
      </c>
      <c r="M218" s="22">
        <v>500</v>
      </c>
      <c r="N218" s="22">
        <f t="shared" si="37"/>
        <v>375</v>
      </c>
      <c r="O218" s="21"/>
    </row>
    <row r="219" spans="1:16" ht="18" customHeight="1">
      <c r="A219" s="83" t="s">
        <v>967</v>
      </c>
      <c r="B219" s="61" t="s">
        <v>810</v>
      </c>
      <c r="C219" s="21" t="s">
        <v>2057</v>
      </c>
      <c r="D219" s="21">
        <v>1</v>
      </c>
      <c r="E219" s="21"/>
      <c r="F219" s="21">
        <f t="shared" si="36"/>
        <v>0.75</v>
      </c>
      <c r="G219" s="21" t="s">
        <v>17</v>
      </c>
      <c r="H219" s="21" t="s">
        <v>614</v>
      </c>
      <c r="I219" s="21" t="s">
        <v>2188</v>
      </c>
      <c r="J219" s="21" t="s">
        <v>2189</v>
      </c>
      <c r="K219" s="21"/>
      <c r="L219" s="21"/>
      <c r="M219" s="22">
        <v>2000</v>
      </c>
      <c r="N219" s="22">
        <f t="shared" si="37"/>
        <v>1500</v>
      </c>
      <c r="O219" s="21" t="s">
        <v>2190</v>
      </c>
    </row>
    <row r="220" spans="1:16">
      <c r="A220" s="83" t="s">
        <v>967</v>
      </c>
      <c r="B220" s="61" t="s">
        <v>2033</v>
      </c>
      <c r="C220" s="21" t="s">
        <v>2058</v>
      </c>
      <c r="D220" s="21">
        <v>1</v>
      </c>
      <c r="E220" s="21" t="s">
        <v>973</v>
      </c>
      <c r="F220" s="21">
        <f t="shared" si="36"/>
        <v>0.75</v>
      </c>
      <c r="G220" s="21" t="s">
        <v>17</v>
      </c>
      <c r="H220" s="21" t="s">
        <v>974</v>
      </c>
      <c r="I220" s="21" t="s">
        <v>975</v>
      </c>
      <c r="J220" s="21"/>
      <c r="K220" s="21"/>
      <c r="L220" s="21"/>
      <c r="M220" s="22">
        <v>2000</v>
      </c>
      <c r="N220" s="22">
        <f t="shared" si="37"/>
        <v>1500</v>
      </c>
      <c r="O220" s="21"/>
    </row>
    <row r="221" spans="1:16">
      <c r="A221" s="83" t="s">
        <v>967</v>
      </c>
      <c r="B221" s="61" t="s">
        <v>976</v>
      </c>
      <c r="C221" s="21" t="s">
        <v>2161</v>
      </c>
      <c r="D221" s="21" t="s">
        <v>977</v>
      </c>
      <c r="E221" s="21"/>
      <c r="F221" s="21">
        <f t="shared" si="36"/>
        <v>0.5</v>
      </c>
      <c r="G221" s="21" t="s">
        <v>21</v>
      </c>
      <c r="H221" s="21"/>
      <c r="I221" s="21"/>
      <c r="J221" s="21"/>
      <c r="K221" s="21"/>
      <c r="L221" s="21"/>
      <c r="M221" s="22">
        <v>500</v>
      </c>
      <c r="N221" s="22">
        <f t="shared" si="37"/>
        <v>250</v>
      </c>
      <c r="O221" s="21"/>
    </row>
    <row r="222" spans="1:16">
      <c r="A222" s="83" t="s">
        <v>967</v>
      </c>
      <c r="B222" s="61" t="s">
        <v>978</v>
      </c>
      <c r="C222" s="21" t="s">
        <v>2161</v>
      </c>
      <c r="D222" s="21">
        <v>5</v>
      </c>
      <c r="E222" s="21"/>
      <c r="F222" s="21">
        <f t="shared" si="36"/>
        <v>0.5</v>
      </c>
      <c r="G222" s="21" t="s">
        <v>21</v>
      </c>
      <c r="H222" s="21"/>
      <c r="I222" s="21"/>
      <c r="J222" s="21"/>
      <c r="K222" s="21"/>
      <c r="L222" s="21"/>
      <c r="M222" s="22">
        <v>320</v>
      </c>
      <c r="N222" s="22">
        <f t="shared" si="37"/>
        <v>160</v>
      </c>
      <c r="O222" s="21"/>
    </row>
    <row r="223" spans="1:16">
      <c r="A223" s="83" t="s">
        <v>967</v>
      </c>
      <c r="B223" s="61" t="s">
        <v>2034</v>
      </c>
      <c r="C223" s="21" t="s">
        <v>2161</v>
      </c>
      <c r="D223" s="21">
        <v>1</v>
      </c>
      <c r="E223" s="21"/>
      <c r="F223" s="21">
        <f t="shared" si="36"/>
        <v>0.5</v>
      </c>
      <c r="G223" s="21" t="s">
        <v>21</v>
      </c>
      <c r="H223" s="21"/>
      <c r="I223" s="21"/>
      <c r="J223" s="21"/>
      <c r="K223" s="21"/>
      <c r="L223" s="21"/>
      <c r="M223" s="22">
        <v>200</v>
      </c>
      <c r="N223" s="22">
        <f t="shared" si="37"/>
        <v>100</v>
      </c>
      <c r="O223" s="21"/>
    </row>
    <row r="224" spans="1:16">
      <c r="A224" s="83" t="s">
        <v>967</v>
      </c>
      <c r="B224" s="61" t="s">
        <v>2035</v>
      </c>
      <c r="C224" s="21" t="s">
        <v>2161</v>
      </c>
      <c r="D224" s="21">
        <v>1</v>
      </c>
      <c r="E224" s="21"/>
      <c r="F224" s="21">
        <f t="shared" si="36"/>
        <v>0.75</v>
      </c>
      <c r="G224" s="21" t="s">
        <v>17</v>
      </c>
      <c r="H224" s="21"/>
      <c r="I224" s="21"/>
      <c r="J224" s="21"/>
      <c r="K224" s="21"/>
      <c r="L224" s="21"/>
      <c r="M224" s="22">
        <v>5000</v>
      </c>
      <c r="N224" s="22">
        <f t="shared" si="37"/>
        <v>3750</v>
      </c>
      <c r="O224" s="21">
        <v>2011</v>
      </c>
    </row>
    <row r="225" spans="1:15">
      <c r="A225" s="83" t="s">
        <v>967</v>
      </c>
      <c r="B225" s="61" t="s">
        <v>2036</v>
      </c>
      <c r="C225" s="21" t="s">
        <v>2161</v>
      </c>
      <c r="D225" s="21">
        <v>1</v>
      </c>
      <c r="E225" s="21"/>
      <c r="F225" s="21">
        <f t="shared" si="36"/>
        <v>0.5</v>
      </c>
      <c r="G225" s="21" t="s">
        <v>21</v>
      </c>
      <c r="H225" s="21"/>
      <c r="I225" s="21"/>
      <c r="J225" s="21"/>
      <c r="K225" s="21"/>
      <c r="L225" s="21"/>
      <c r="M225" s="22">
        <f>2*117</f>
        <v>234</v>
      </c>
      <c r="N225" s="22">
        <f t="shared" si="37"/>
        <v>117</v>
      </c>
      <c r="O225" s="21"/>
    </row>
    <row r="227" spans="1:15" ht="18" customHeight="1">
      <c r="A227" s="83" t="s">
        <v>1012</v>
      </c>
      <c r="B227" s="61" t="s">
        <v>2037</v>
      </c>
      <c r="C227" s="21" t="s">
        <v>2161</v>
      </c>
      <c r="D227" s="21">
        <v>3</v>
      </c>
      <c r="E227" s="21" t="s">
        <v>1013</v>
      </c>
      <c r="F227" s="21">
        <f t="shared" ref="F227:F238" si="38">IF(G227="fair",0.5,0)+IF(G227="good",0.75,0)+IF(G227="poor",0.25,0)+IF(G227="like new",0.9,0)+IF(G227="new",1,0)</f>
        <v>0.5</v>
      </c>
      <c r="G227" s="21" t="s">
        <v>21</v>
      </c>
      <c r="H227" s="21"/>
      <c r="I227" s="21"/>
      <c r="J227" s="21"/>
      <c r="K227" s="21"/>
      <c r="L227" s="21"/>
      <c r="M227" s="22">
        <f>400*3</f>
        <v>1200</v>
      </c>
      <c r="N227" s="22">
        <f>F227*M227</f>
        <v>600</v>
      </c>
      <c r="O227" s="21"/>
    </row>
    <row r="228" spans="1:15" ht="18" customHeight="1">
      <c r="A228" s="83" t="s">
        <v>1012</v>
      </c>
      <c r="B228" s="61" t="s">
        <v>2034</v>
      </c>
      <c r="C228" s="21" t="s">
        <v>2161</v>
      </c>
      <c r="D228" s="21">
        <v>1</v>
      </c>
      <c r="E228" s="21" t="s">
        <v>1014</v>
      </c>
      <c r="F228" s="21">
        <f t="shared" si="38"/>
        <v>0.5</v>
      </c>
      <c r="G228" s="21" t="s">
        <v>21</v>
      </c>
      <c r="H228" s="21"/>
      <c r="I228" s="21"/>
      <c r="J228" s="21"/>
      <c r="K228" s="21"/>
      <c r="L228" s="21"/>
      <c r="M228" s="22">
        <v>200</v>
      </c>
      <c r="N228" s="22">
        <f>F228*M228</f>
        <v>100</v>
      </c>
      <c r="O228" s="21"/>
    </row>
    <row r="229" spans="1:15" ht="18" customHeight="1">
      <c r="A229" s="83" t="s">
        <v>1012</v>
      </c>
      <c r="B229" s="61" t="s">
        <v>810</v>
      </c>
      <c r="C229" s="21" t="s">
        <v>2057</v>
      </c>
      <c r="D229" s="21">
        <v>1</v>
      </c>
      <c r="E229" s="21"/>
      <c r="F229" s="21">
        <f t="shared" si="38"/>
        <v>0.25</v>
      </c>
      <c r="G229" s="21" t="s">
        <v>143</v>
      </c>
      <c r="H229" s="21"/>
      <c r="I229" s="21"/>
      <c r="J229" s="21"/>
      <c r="K229" s="21"/>
      <c r="L229" s="21"/>
      <c r="M229" s="22">
        <v>579</v>
      </c>
      <c r="N229" s="22">
        <f>F229*M229</f>
        <v>144.75</v>
      </c>
      <c r="O229" s="21">
        <v>1999</v>
      </c>
    </row>
    <row r="230" spans="1:15" ht="18" customHeight="1">
      <c r="A230" s="83" t="s">
        <v>1012</v>
      </c>
      <c r="B230" s="61" t="s">
        <v>2031</v>
      </c>
      <c r="C230" s="21" t="s">
        <v>2161</v>
      </c>
      <c r="D230" s="21">
        <v>1</v>
      </c>
      <c r="E230" s="21" t="s">
        <v>1015</v>
      </c>
      <c r="F230" s="21">
        <f t="shared" si="38"/>
        <v>0.5</v>
      </c>
      <c r="G230" s="21" t="s">
        <v>21</v>
      </c>
      <c r="H230" s="21"/>
      <c r="I230" s="21"/>
      <c r="J230" s="21"/>
      <c r="K230" s="21"/>
      <c r="L230" s="21"/>
      <c r="M230" s="22">
        <v>1000</v>
      </c>
      <c r="N230" s="22">
        <f>F230*M230</f>
        <v>500</v>
      </c>
      <c r="O230" s="21">
        <v>2010</v>
      </c>
    </row>
    <row r="231" spans="1:15" ht="18" customHeight="1">
      <c r="A231" s="83" t="s">
        <v>1012</v>
      </c>
      <c r="B231" s="61" t="s">
        <v>2038</v>
      </c>
      <c r="C231" s="21" t="s">
        <v>2161</v>
      </c>
      <c r="D231" s="21">
        <v>3</v>
      </c>
      <c r="E231" s="21" t="s">
        <v>1016</v>
      </c>
      <c r="F231" s="21">
        <f t="shared" si="38"/>
        <v>0.5</v>
      </c>
      <c r="G231" s="21" t="s">
        <v>21</v>
      </c>
      <c r="H231" s="21"/>
      <c r="I231" s="21"/>
      <c r="J231" s="21"/>
      <c r="K231" s="21"/>
      <c r="L231" s="21"/>
      <c r="M231" s="22">
        <f>1000*3</f>
        <v>3000</v>
      </c>
      <c r="N231" s="22">
        <f>F230*M231</f>
        <v>1500</v>
      </c>
      <c r="O231" s="21"/>
    </row>
    <row r="232" spans="1:15">
      <c r="A232" s="83" t="s">
        <v>1012</v>
      </c>
      <c r="B232" s="61" t="s">
        <v>2039</v>
      </c>
      <c r="C232" s="21" t="s">
        <v>2058</v>
      </c>
      <c r="D232" s="21">
        <v>1</v>
      </c>
      <c r="E232" s="21"/>
      <c r="F232" s="21">
        <f t="shared" si="38"/>
        <v>0.75</v>
      </c>
      <c r="G232" s="21" t="s">
        <v>17</v>
      </c>
      <c r="H232" s="21"/>
      <c r="I232" s="21"/>
      <c r="J232" s="21"/>
      <c r="K232" s="21"/>
      <c r="L232" s="21"/>
      <c r="M232" s="22">
        <v>2000</v>
      </c>
      <c r="N232" s="22">
        <f>F231*M232</f>
        <v>1000</v>
      </c>
      <c r="O232" s="21"/>
    </row>
    <row r="233" spans="1:15">
      <c r="A233" s="83" t="s">
        <v>1012</v>
      </c>
      <c r="B233" s="61" t="s">
        <v>2040</v>
      </c>
      <c r="C233" s="21" t="s">
        <v>2161</v>
      </c>
      <c r="D233" s="21">
        <v>1</v>
      </c>
      <c r="E233" s="21"/>
      <c r="F233" s="21">
        <f t="shared" si="38"/>
        <v>0.5</v>
      </c>
      <c r="G233" s="21" t="s">
        <v>21</v>
      </c>
      <c r="H233" s="21"/>
      <c r="I233" s="21"/>
      <c r="J233" s="21"/>
      <c r="K233" s="21"/>
      <c r="L233" s="21"/>
      <c r="M233" s="22">
        <v>200</v>
      </c>
      <c r="N233" s="22">
        <f>F232*M233</f>
        <v>150</v>
      </c>
      <c r="O233" s="21"/>
    </row>
    <row r="234" spans="1:15">
      <c r="A234" s="83" t="s">
        <v>1012</v>
      </c>
      <c r="B234" s="61" t="s">
        <v>2035</v>
      </c>
      <c r="C234" s="21" t="s">
        <v>2161</v>
      </c>
      <c r="D234" s="21">
        <v>1</v>
      </c>
      <c r="E234" s="21"/>
      <c r="F234" s="21">
        <f t="shared" si="38"/>
        <v>0.75</v>
      </c>
      <c r="G234" s="21" t="s">
        <v>17</v>
      </c>
      <c r="H234" s="21"/>
      <c r="I234" s="21"/>
      <c r="J234" s="21"/>
      <c r="K234" s="21"/>
      <c r="L234" s="21"/>
      <c r="M234" s="22">
        <v>5000</v>
      </c>
      <c r="N234" s="22">
        <f>F233*M234</f>
        <v>2500</v>
      </c>
      <c r="O234" s="21"/>
    </row>
    <row r="235" spans="1:15">
      <c r="A235" s="83" t="s">
        <v>1012</v>
      </c>
      <c r="B235" s="61" t="s">
        <v>2041</v>
      </c>
      <c r="C235" s="21" t="s">
        <v>2161</v>
      </c>
      <c r="D235" s="21" t="s">
        <v>263</v>
      </c>
      <c r="E235" s="21"/>
      <c r="F235" s="21">
        <f t="shared" si="38"/>
        <v>0.5</v>
      </c>
      <c r="G235" s="21" t="s">
        <v>21</v>
      </c>
      <c r="H235" s="21"/>
      <c r="I235" s="21"/>
      <c r="J235" s="21"/>
      <c r="K235" s="21"/>
      <c r="L235" s="21"/>
      <c r="M235" s="22">
        <f>100*8</f>
        <v>800</v>
      </c>
      <c r="N235" s="22">
        <f>F234*M235</f>
        <v>600</v>
      </c>
      <c r="O235" s="21"/>
    </row>
    <row r="236" spans="1:15">
      <c r="A236" s="83" t="s">
        <v>1012</v>
      </c>
      <c r="B236" s="61" t="s">
        <v>2042</v>
      </c>
      <c r="C236" s="21" t="s">
        <v>2161</v>
      </c>
      <c r="D236" s="21">
        <v>5</v>
      </c>
      <c r="E236" s="21"/>
      <c r="F236" s="21">
        <f t="shared" si="38"/>
        <v>0.5</v>
      </c>
      <c r="G236" s="21" t="s">
        <v>21</v>
      </c>
      <c r="H236" s="21"/>
      <c r="I236" s="21"/>
      <c r="J236" s="21"/>
      <c r="K236" s="21"/>
      <c r="L236" s="21"/>
      <c r="M236" s="22">
        <f>80*5</f>
        <v>400</v>
      </c>
      <c r="N236" s="22">
        <f>F236*M236</f>
        <v>200</v>
      </c>
      <c r="O236" s="21"/>
    </row>
    <row r="237" spans="1:15">
      <c r="A237" s="83" t="s">
        <v>1012</v>
      </c>
      <c r="B237" s="61" t="s">
        <v>2043</v>
      </c>
      <c r="C237" s="21" t="s">
        <v>2058</v>
      </c>
      <c r="D237" s="21">
        <v>1</v>
      </c>
      <c r="E237" s="21"/>
      <c r="F237" s="21">
        <f t="shared" si="38"/>
        <v>0.5</v>
      </c>
      <c r="G237" s="21" t="s">
        <v>21</v>
      </c>
      <c r="H237" s="21"/>
      <c r="I237" s="21"/>
      <c r="J237" s="21"/>
      <c r="K237" s="21"/>
      <c r="L237" s="21"/>
      <c r="M237" s="22">
        <v>700</v>
      </c>
      <c r="N237" s="22">
        <f>F235*M237</f>
        <v>350</v>
      </c>
      <c r="O237" s="21"/>
    </row>
    <row r="238" spans="1:15">
      <c r="A238" s="83" t="s">
        <v>1012</v>
      </c>
      <c r="B238" s="61" t="s">
        <v>2191</v>
      </c>
      <c r="C238" s="21" t="s">
        <v>2161</v>
      </c>
      <c r="D238" s="21">
        <v>3</v>
      </c>
      <c r="E238" s="21"/>
      <c r="F238" s="21">
        <f t="shared" si="38"/>
        <v>0.5</v>
      </c>
      <c r="G238" s="21" t="s">
        <v>21</v>
      </c>
      <c r="H238" s="21"/>
      <c r="I238" s="21"/>
      <c r="J238" s="21"/>
      <c r="K238" s="21"/>
      <c r="L238" s="21"/>
      <c r="M238" s="80">
        <f>117*3</f>
        <v>351</v>
      </c>
      <c r="N238" s="22">
        <f>F237*M238</f>
        <v>175.5</v>
      </c>
      <c r="O238" s="21"/>
    </row>
    <row r="239" spans="1:15">
      <c r="A239" s="83" t="s">
        <v>1012</v>
      </c>
      <c r="B239" s="61" t="s">
        <v>2044</v>
      </c>
      <c r="C239" s="21" t="s">
        <v>2057</v>
      </c>
      <c r="D239" s="21">
        <v>1</v>
      </c>
      <c r="E239" s="21" t="s">
        <v>2460</v>
      </c>
      <c r="F239" s="21">
        <f>IF(G239="fair",0.5,0)+IF(G239="good",0.75,0)+IF(G239="poor",0.25,0)+IF(G239="like new",0.9,0)+IF(G239="new",1,0)</f>
        <v>0</v>
      </c>
      <c r="G239" s="21"/>
      <c r="H239" s="21"/>
      <c r="I239" s="21"/>
      <c r="J239" s="21"/>
      <c r="K239" s="21"/>
      <c r="L239" s="21"/>
      <c r="M239" s="22"/>
      <c r="N239" s="22"/>
      <c r="O239" s="21">
        <v>2010</v>
      </c>
    </row>
    <row r="241" spans="1:15" ht="18" customHeight="1">
      <c r="A241" s="38" t="s">
        <v>1146</v>
      </c>
      <c r="B241" s="61" t="s">
        <v>1174</v>
      </c>
      <c r="C241" s="21" t="s">
        <v>2161</v>
      </c>
      <c r="D241" s="21">
        <v>15</v>
      </c>
      <c r="E241" s="21" t="s">
        <v>1175</v>
      </c>
      <c r="F241" s="21">
        <f t="shared" ref="F241:F245" si="39">IF(G241="fair",0.5,0)+IF(G241="good",0.75,0)+IF(G241="poor",0.25,0)+IF(G241="like new",0.9,0)+IF(G241="new",1,0)</f>
        <v>0.5</v>
      </c>
      <c r="G241" s="21" t="s">
        <v>21</v>
      </c>
      <c r="H241" s="21"/>
      <c r="I241" s="21"/>
      <c r="J241" s="21"/>
      <c r="K241" s="21"/>
      <c r="L241" s="21"/>
      <c r="M241" s="22">
        <v>200</v>
      </c>
      <c r="N241" s="22">
        <f>F241*M241</f>
        <v>100</v>
      </c>
      <c r="O241" s="21"/>
    </row>
    <row r="242" spans="1:15">
      <c r="A242" s="38" t="s">
        <v>1146</v>
      </c>
      <c r="B242" s="61" t="s">
        <v>1176</v>
      </c>
      <c r="C242" s="21" t="s">
        <v>2161</v>
      </c>
      <c r="D242" s="21">
        <v>1</v>
      </c>
      <c r="E242" s="21"/>
      <c r="F242" s="21">
        <f t="shared" si="39"/>
        <v>0.5</v>
      </c>
      <c r="G242" s="21" t="s">
        <v>21</v>
      </c>
      <c r="H242" s="21"/>
      <c r="I242" s="21"/>
      <c r="J242" s="64"/>
      <c r="K242" s="64"/>
      <c r="L242" s="64"/>
      <c r="M242" s="80">
        <v>100</v>
      </c>
      <c r="N242" s="22">
        <f>F242*M242</f>
        <v>50</v>
      </c>
      <c r="O242" s="21"/>
    </row>
    <row r="243" spans="1:15">
      <c r="A243" s="38" t="s">
        <v>1146</v>
      </c>
      <c r="B243" s="61" t="s">
        <v>1177</v>
      </c>
      <c r="C243" s="21" t="s">
        <v>2161</v>
      </c>
      <c r="D243" s="21">
        <v>1</v>
      </c>
      <c r="E243" s="21"/>
      <c r="F243" s="21">
        <f t="shared" si="39"/>
        <v>0.5</v>
      </c>
      <c r="G243" s="21" t="s">
        <v>21</v>
      </c>
      <c r="H243" s="21"/>
      <c r="I243" s="21"/>
      <c r="J243" s="21"/>
      <c r="K243" s="21"/>
      <c r="L243" s="21"/>
      <c r="M243" s="22">
        <v>100</v>
      </c>
      <c r="N243" s="22">
        <f>F243*M243</f>
        <v>50</v>
      </c>
      <c r="O243" s="21"/>
    </row>
    <row r="244" spans="1:15">
      <c r="A244" s="83" t="s">
        <v>1146</v>
      </c>
      <c r="B244" s="61" t="s">
        <v>2044</v>
      </c>
      <c r="C244" s="21" t="s">
        <v>2057</v>
      </c>
      <c r="D244" s="21">
        <v>1</v>
      </c>
      <c r="E244" s="21" t="s">
        <v>2460</v>
      </c>
      <c r="F244" s="21">
        <f>IF(G244="fair",0.5,0)+IF(G244="good",0.75,0)+IF(G244="poor",0.25,0)+IF(G244="like new",0.9,0)+IF(G244="new",1,0)</f>
        <v>0</v>
      </c>
      <c r="G244" s="21"/>
      <c r="H244" s="21"/>
      <c r="I244" s="21"/>
      <c r="J244" s="21"/>
      <c r="K244" s="21"/>
      <c r="L244" s="21"/>
      <c r="M244" s="22"/>
      <c r="N244" s="22"/>
      <c r="O244" s="21"/>
    </row>
    <row r="245" spans="1:15">
      <c r="A245" s="38" t="s">
        <v>1146</v>
      </c>
      <c r="B245" s="61" t="s">
        <v>2435</v>
      </c>
      <c r="C245" s="21" t="s">
        <v>2161</v>
      </c>
      <c r="D245" s="21">
        <v>1</v>
      </c>
      <c r="E245" s="21"/>
      <c r="F245" s="21">
        <f t="shared" si="39"/>
        <v>0.75</v>
      </c>
      <c r="G245" s="21" t="s">
        <v>17</v>
      </c>
      <c r="H245" s="21"/>
      <c r="I245" s="21"/>
      <c r="J245" s="21"/>
      <c r="K245" s="21"/>
      <c r="L245" s="21"/>
      <c r="M245" s="22"/>
      <c r="N245" s="22">
        <f>F245*M245</f>
        <v>0</v>
      </c>
      <c r="O245" s="21"/>
    </row>
    <row r="247" spans="1:15" ht="31.5">
      <c r="A247" s="38" t="s">
        <v>1182</v>
      </c>
      <c r="B247" s="61" t="s">
        <v>2045</v>
      </c>
      <c r="C247" s="21" t="s">
        <v>2057</v>
      </c>
      <c r="D247" s="21">
        <v>1</v>
      </c>
      <c r="E247" s="21"/>
      <c r="F247" s="21">
        <f t="shared" ref="F247:F249" si="40">IF(G247="fair",0.5,0)+IF(G247="good",0.75,0)+IF(G247="poor",0.25,0)+IF(G247="like new",0.9,0)+IF(G247="new",1,0)</f>
        <v>0.5</v>
      </c>
      <c r="G247" s="21" t="s">
        <v>21</v>
      </c>
      <c r="H247" s="21" t="s">
        <v>1178</v>
      </c>
      <c r="I247" s="21" t="s">
        <v>1179</v>
      </c>
      <c r="J247" s="21" t="s">
        <v>1180</v>
      </c>
      <c r="K247" s="21"/>
      <c r="L247" s="21"/>
      <c r="M247" s="22">
        <v>579</v>
      </c>
      <c r="N247" s="22">
        <f>F247*M247</f>
        <v>289.5</v>
      </c>
      <c r="O247" s="21">
        <v>1998</v>
      </c>
    </row>
    <row r="248" spans="1:15">
      <c r="A248" s="38" t="s">
        <v>1182</v>
      </c>
      <c r="B248" s="61" t="s">
        <v>2046</v>
      </c>
      <c r="C248" s="21" t="s">
        <v>2161</v>
      </c>
      <c r="D248" s="21">
        <v>1</v>
      </c>
      <c r="E248" s="21"/>
      <c r="F248" s="21">
        <f t="shared" si="40"/>
        <v>0.5</v>
      </c>
      <c r="G248" s="21" t="s">
        <v>21</v>
      </c>
      <c r="H248" s="21"/>
      <c r="I248" s="21"/>
      <c r="J248" s="21"/>
      <c r="K248" s="21"/>
      <c r="L248" s="21"/>
      <c r="M248" s="22">
        <v>100</v>
      </c>
      <c r="N248" s="22">
        <f>F248*M248</f>
        <v>50</v>
      </c>
      <c r="O248" s="21"/>
    </row>
    <row r="249" spans="1:15">
      <c r="A249" s="38" t="s">
        <v>1182</v>
      </c>
      <c r="B249" s="61" t="s">
        <v>2047</v>
      </c>
      <c r="C249" s="21" t="s">
        <v>2161</v>
      </c>
      <c r="D249" s="21">
        <v>1</v>
      </c>
      <c r="E249" s="21"/>
      <c r="F249" s="21">
        <f t="shared" si="40"/>
        <v>0.75</v>
      </c>
      <c r="G249" s="21" t="s">
        <v>17</v>
      </c>
      <c r="H249" s="21" t="s">
        <v>1181</v>
      </c>
      <c r="I249" s="21"/>
      <c r="J249" s="21"/>
      <c r="K249" s="21"/>
      <c r="L249" s="21"/>
      <c r="M249" s="22">
        <v>200</v>
      </c>
      <c r="N249" s="22">
        <f>F249*M249</f>
        <v>150</v>
      </c>
      <c r="O249" s="21"/>
    </row>
    <row r="251" spans="1:15">
      <c r="A251" s="38" t="s">
        <v>1832</v>
      </c>
      <c r="B251" s="61" t="s">
        <v>1833</v>
      </c>
      <c r="C251" s="21" t="s">
        <v>2161</v>
      </c>
      <c r="D251" s="21">
        <v>2</v>
      </c>
      <c r="E251" s="21" t="s">
        <v>2409</v>
      </c>
      <c r="F251" s="21">
        <f t="shared" ref="F251:F262" si="41">IF(G251="fair",0.5,0)+IF(G251="good",0.75,0)+IF(G251="poor",0.25,0)+IF(G251="like new",0.9,0)+IF(G251="new",1,0)</f>
        <v>0.25</v>
      </c>
      <c r="G251" s="21" t="s">
        <v>143</v>
      </c>
      <c r="H251" s="21"/>
      <c r="I251" s="21"/>
      <c r="J251" s="21"/>
      <c r="K251" s="21"/>
      <c r="L251" s="21"/>
      <c r="M251" s="22" t="s">
        <v>120</v>
      </c>
      <c r="N251" s="22"/>
      <c r="O251" s="21"/>
    </row>
    <row r="252" spans="1:15">
      <c r="A252" s="38" t="s">
        <v>1832</v>
      </c>
      <c r="B252" s="61" t="s">
        <v>1834</v>
      </c>
      <c r="C252" s="21" t="s">
        <v>2161</v>
      </c>
      <c r="D252" s="21">
        <v>1</v>
      </c>
      <c r="E252" s="21" t="s">
        <v>1835</v>
      </c>
      <c r="F252" s="21">
        <f t="shared" si="41"/>
        <v>0.5</v>
      </c>
      <c r="G252" s="21" t="s">
        <v>21</v>
      </c>
      <c r="H252" s="21"/>
      <c r="I252" s="21"/>
      <c r="J252" s="21"/>
      <c r="K252" s="21"/>
      <c r="L252" s="21"/>
      <c r="M252" s="22" t="s">
        <v>120</v>
      </c>
      <c r="N252" s="22"/>
      <c r="O252" s="21"/>
    </row>
    <row r="253" spans="1:15">
      <c r="A253" s="38" t="s">
        <v>1832</v>
      </c>
      <c r="B253" s="61" t="s">
        <v>1834</v>
      </c>
      <c r="C253" s="21" t="s">
        <v>2161</v>
      </c>
      <c r="D253" s="21">
        <v>1</v>
      </c>
      <c r="E253" s="21" t="s">
        <v>1836</v>
      </c>
      <c r="F253" s="21">
        <f t="shared" si="41"/>
        <v>0.5</v>
      </c>
      <c r="G253" s="21" t="s">
        <v>21</v>
      </c>
      <c r="H253" s="21"/>
      <c r="I253" s="21"/>
      <c r="J253" s="21"/>
      <c r="K253" s="21"/>
      <c r="L253" s="21"/>
      <c r="M253" s="22" t="s">
        <v>120</v>
      </c>
      <c r="N253" s="22"/>
      <c r="O253" s="21"/>
    </row>
    <row r="254" spans="1:15">
      <c r="A254" s="38" t="s">
        <v>1832</v>
      </c>
      <c r="B254" s="61" t="s">
        <v>1834</v>
      </c>
      <c r="C254" s="21" t="s">
        <v>2161</v>
      </c>
      <c r="D254" s="21">
        <v>1</v>
      </c>
      <c r="E254" s="21" t="s">
        <v>1837</v>
      </c>
      <c r="F254" s="21">
        <f t="shared" si="41"/>
        <v>0.5</v>
      </c>
      <c r="G254" s="21" t="s">
        <v>21</v>
      </c>
      <c r="H254" s="21"/>
      <c r="I254" s="21"/>
      <c r="J254" s="21"/>
      <c r="K254" s="21"/>
      <c r="L254" s="21"/>
      <c r="M254" s="22" t="s">
        <v>120</v>
      </c>
      <c r="N254" s="22"/>
      <c r="O254" s="21"/>
    </row>
    <row r="255" spans="1:15">
      <c r="A255" s="38" t="s">
        <v>1832</v>
      </c>
      <c r="B255" s="61" t="s">
        <v>1834</v>
      </c>
      <c r="C255" s="21" t="s">
        <v>2161</v>
      </c>
      <c r="D255" s="21">
        <v>1</v>
      </c>
      <c r="E255" s="21" t="s">
        <v>1838</v>
      </c>
      <c r="F255" s="21">
        <f t="shared" si="41"/>
        <v>0.5</v>
      </c>
      <c r="G255" s="21" t="s">
        <v>21</v>
      </c>
      <c r="H255" s="21"/>
      <c r="I255" s="21"/>
      <c r="J255" s="21"/>
      <c r="K255" s="21"/>
      <c r="L255" s="21"/>
      <c r="M255" s="22" t="s">
        <v>120</v>
      </c>
      <c r="N255" s="22"/>
      <c r="O255" s="21"/>
    </row>
    <row r="256" spans="1:15">
      <c r="A256" s="38" t="s">
        <v>1832</v>
      </c>
      <c r="B256" s="61" t="s">
        <v>1834</v>
      </c>
      <c r="C256" s="21" t="s">
        <v>2161</v>
      </c>
      <c r="D256" s="21">
        <v>1</v>
      </c>
      <c r="E256" s="21" t="s">
        <v>1839</v>
      </c>
      <c r="F256" s="21">
        <f t="shared" si="41"/>
        <v>0.5</v>
      </c>
      <c r="G256" s="21" t="s">
        <v>21</v>
      </c>
      <c r="H256" s="21"/>
      <c r="I256" s="21"/>
      <c r="J256" s="21"/>
      <c r="K256" s="21"/>
      <c r="L256" s="21"/>
      <c r="M256" s="22" t="s">
        <v>120</v>
      </c>
      <c r="N256" s="22"/>
      <c r="O256" s="21"/>
    </row>
    <row r="257" spans="1:56">
      <c r="A257" s="38" t="s">
        <v>1832</v>
      </c>
      <c r="B257" s="61" t="s">
        <v>1834</v>
      </c>
      <c r="C257" s="21" t="s">
        <v>2161</v>
      </c>
      <c r="D257" s="21">
        <v>1</v>
      </c>
      <c r="E257" s="21" t="s">
        <v>1840</v>
      </c>
      <c r="F257" s="21">
        <f t="shared" si="41"/>
        <v>0.5</v>
      </c>
      <c r="G257" s="21" t="s">
        <v>21</v>
      </c>
      <c r="H257" s="21"/>
      <c r="I257" s="21"/>
      <c r="J257" s="21"/>
      <c r="K257" s="21"/>
      <c r="L257" s="21"/>
      <c r="M257" s="22" t="s">
        <v>120</v>
      </c>
      <c r="N257" s="22"/>
      <c r="O257" s="21"/>
    </row>
    <row r="258" spans="1:56">
      <c r="A258" s="38" t="s">
        <v>1832</v>
      </c>
      <c r="B258" s="61" t="s">
        <v>1834</v>
      </c>
      <c r="C258" s="21" t="s">
        <v>2161</v>
      </c>
      <c r="D258" s="21">
        <v>1</v>
      </c>
      <c r="E258" s="21" t="s">
        <v>1841</v>
      </c>
      <c r="F258" s="21">
        <f t="shared" si="41"/>
        <v>0.5</v>
      </c>
      <c r="G258" s="21" t="s">
        <v>21</v>
      </c>
      <c r="H258" s="21"/>
      <c r="I258" s="21"/>
      <c r="J258" s="21"/>
      <c r="K258" s="21"/>
      <c r="L258" s="21"/>
      <c r="M258" s="22" t="s">
        <v>120</v>
      </c>
      <c r="N258" s="22"/>
      <c r="O258" s="21"/>
    </row>
    <row r="259" spans="1:56">
      <c r="A259" s="38" t="s">
        <v>1832</v>
      </c>
      <c r="B259" s="61" t="s">
        <v>1842</v>
      </c>
      <c r="C259" s="21" t="s">
        <v>2161</v>
      </c>
      <c r="D259" s="21">
        <v>1</v>
      </c>
      <c r="E259" s="21" t="s">
        <v>1843</v>
      </c>
      <c r="F259" s="21">
        <f t="shared" si="41"/>
        <v>0.5</v>
      </c>
      <c r="G259" s="21" t="s">
        <v>21</v>
      </c>
      <c r="H259" s="21"/>
      <c r="I259" s="21"/>
      <c r="J259" s="21"/>
      <c r="K259" s="21"/>
      <c r="L259" s="21"/>
      <c r="M259" s="22" t="s">
        <v>120</v>
      </c>
      <c r="N259" s="22">
        <v>0</v>
      </c>
      <c r="O259" s="21"/>
    </row>
    <row r="260" spans="1:56">
      <c r="A260" s="38" t="s">
        <v>1832</v>
      </c>
      <c r="B260" s="61" t="s">
        <v>1842</v>
      </c>
      <c r="C260" s="21" t="s">
        <v>2161</v>
      </c>
      <c r="D260" s="21">
        <v>1</v>
      </c>
      <c r="E260" s="21" t="s">
        <v>1844</v>
      </c>
      <c r="F260" s="21">
        <f t="shared" si="41"/>
        <v>0.5</v>
      </c>
      <c r="G260" s="21" t="s">
        <v>21</v>
      </c>
      <c r="H260" s="21"/>
      <c r="I260" s="21"/>
      <c r="J260" s="21"/>
      <c r="K260" s="21"/>
      <c r="L260" s="21"/>
      <c r="M260" s="22" t="s">
        <v>120</v>
      </c>
      <c r="N260" s="22">
        <v>0</v>
      </c>
      <c r="O260" s="21"/>
    </row>
    <row r="261" spans="1:56">
      <c r="A261" s="38" t="s">
        <v>1832</v>
      </c>
      <c r="B261" s="61" t="s">
        <v>1845</v>
      </c>
      <c r="C261" s="21" t="s">
        <v>2161</v>
      </c>
      <c r="D261" s="21">
        <v>3</v>
      </c>
      <c r="E261" s="21" t="s">
        <v>2410</v>
      </c>
      <c r="F261" s="21">
        <f t="shared" si="41"/>
        <v>0.75</v>
      </c>
      <c r="G261" s="21" t="s">
        <v>17</v>
      </c>
      <c r="H261" s="21"/>
      <c r="I261" s="21"/>
      <c r="J261" s="21"/>
      <c r="K261" s="21"/>
      <c r="L261" s="21"/>
      <c r="M261" s="22" t="s">
        <v>120</v>
      </c>
      <c r="N261" s="22">
        <v>0</v>
      </c>
      <c r="O261" s="21"/>
    </row>
    <row r="262" spans="1:56">
      <c r="A262" s="38" t="s">
        <v>1832</v>
      </c>
      <c r="B262" s="61" t="s">
        <v>318</v>
      </c>
      <c r="C262" s="21" t="s">
        <v>2161</v>
      </c>
      <c r="D262" s="21">
        <v>10</v>
      </c>
      <c r="E262" s="21" t="s">
        <v>2411</v>
      </c>
      <c r="F262" s="21">
        <f t="shared" si="41"/>
        <v>0.5</v>
      </c>
      <c r="G262" s="21" t="s">
        <v>21</v>
      </c>
      <c r="H262" s="21"/>
      <c r="I262" s="21"/>
      <c r="J262" s="21"/>
      <c r="K262" s="21"/>
      <c r="L262" s="21"/>
      <c r="M262" s="22" t="s">
        <v>120</v>
      </c>
      <c r="N262" s="22">
        <v>0</v>
      </c>
      <c r="O262" s="21"/>
    </row>
    <row r="264" spans="1:56" ht="18" customHeight="1">
      <c r="A264" s="83" t="s">
        <v>1973</v>
      </c>
      <c r="B264" s="61" t="s">
        <v>2048</v>
      </c>
      <c r="C264" s="21" t="s">
        <v>2161</v>
      </c>
      <c r="D264" s="21">
        <v>1</v>
      </c>
      <c r="E264" s="21" t="s">
        <v>1988</v>
      </c>
      <c r="F264" s="21">
        <f t="shared" ref="F264:F267" si="42">IF(G264="fair",0.5,0)+IF(G264="good",0.75,0)+IF(G264="poor",0.25,0)+IF(G264="like new",0.9,0)+IF(G264="new",1,0)</f>
        <v>0.5</v>
      </c>
      <c r="G264" s="21" t="s">
        <v>21</v>
      </c>
      <c r="H264" s="21"/>
      <c r="I264" s="21"/>
      <c r="J264" s="21"/>
      <c r="K264" s="21"/>
      <c r="L264" s="21"/>
      <c r="M264" s="22">
        <v>277</v>
      </c>
      <c r="N264" s="22">
        <f>F264*M264</f>
        <v>138.5</v>
      </c>
      <c r="O264" s="21"/>
    </row>
    <row r="265" spans="1:56" ht="18" customHeight="1">
      <c r="A265" s="83" t="s">
        <v>1973</v>
      </c>
      <c r="B265" s="61" t="s">
        <v>2049</v>
      </c>
      <c r="C265" s="21" t="s">
        <v>2161</v>
      </c>
      <c r="D265" s="21">
        <v>9</v>
      </c>
      <c r="E265" s="21" t="s">
        <v>2412</v>
      </c>
      <c r="F265" s="21">
        <f t="shared" si="42"/>
        <v>0.5</v>
      </c>
      <c r="G265" s="21" t="s">
        <v>21</v>
      </c>
      <c r="H265" s="21"/>
      <c r="I265" s="21"/>
      <c r="J265" s="21"/>
      <c r="K265" s="21"/>
      <c r="L265" s="21"/>
      <c r="M265" s="22">
        <f>9*400</f>
        <v>3600</v>
      </c>
      <c r="N265" s="22">
        <f>F265*M265</f>
        <v>1800</v>
      </c>
      <c r="O265" s="21"/>
    </row>
    <row r="266" spans="1:56" ht="18" customHeight="1">
      <c r="A266" s="83" t="s">
        <v>1973</v>
      </c>
      <c r="B266" s="61" t="s">
        <v>2050</v>
      </c>
      <c r="C266" s="21" t="s">
        <v>2161</v>
      </c>
      <c r="D266" s="21">
        <v>1</v>
      </c>
      <c r="E266" s="21" t="s">
        <v>1989</v>
      </c>
      <c r="F266" s="21">
        <f t="shared" si="42"/>
        <v>0.5</v>
      </c>
      <c r="G266" s="21" t="s">
        <v>21</v>
      </c>
      <c r="H266" s="21"/>
      <c r="I266" s="21"/>
      <c r="J266" s="21"/>
      <c r="K266" s="21"/>
      <c r="L266" s="21"/>
      <c r="M266" s="22" t="s">
        <v>120</v>
      </c>
      <c r="N266" s="22"/>
      <c r="O266" s="21"/>
    </row>
    <row r="267" spans="1:56" ht="31.5">
      <c r="A267" s="83" t="s">
        <v>1973</v>
      </c>
      <c r="B267" s="61" t="s">
        <v>1990</v>
      </c>
      <c r="C267" s="21" t="s">
        <v>2161</v>
      </c>
      <c r="D267" s="21">
        <v>4</v>
      </c>
      <c r="E267" s="21" t="s">
        <v>1991</v>
      </c>
      <c r="F267" s="21">
        <f t="shared" si="42"/>
        <v>0.25</v>
      </c>
      <c r="G267" s="21" t="s">
        <v>143</v>
      </c>
      <c r="H267" s="21"/>
      <c r="I267" s="21"/>
      <c r="J267" s="146"/>
      <c r="K267" s="146"/>
      <c r="L267" s="146"/>
      <c r="M267" s="21" t="s">
        <v>120</v>
      </c>
      <c r="N267" s="22">
        <v>0</v>
      </c>
      <c r="O267" s="21"/>
    </row>
    <row r="268" spans="1:56" s="72" customFormat="1">
      <c r="A268" s="38"/>
      <c r="B268" s="42"/>
      <c r="C268" s="144"/>
      <c r="D268" s="78"/>
      <c r="E268" s="78"/>
      <c r="F268" s="78"/>
      <c r="G268" s="78"/>
      <c r="H268" s="78"/>
      <c r="I268" s="78"/>
      <c r="J268" s="144"/>
      <c r="K268" s="144"/>
      <c r="L268" s="144"/>
      <c r="M268" s="144"/>
      <c r="N268" s="143"/>
      <c r="O268" s="78"/>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row>
    <row r="269" spans="1:56" ht="18" customHeight="1">
      <c r="A269" s="83" t="s">
        <v>1974</v>
      </c>
      <c r="B269" s="61" t="s">
        <v>2051</v>
      </c>
      <c r="C269" s="21" t="s">
        <v>2057</v>
      </c>
      <c r="D269" s="21">
        <v>22</v>
      </c>
      <c r="E269" s="21" t="s">
        <v>2413</v>
      </c>
      <c r="F269" s="21">
        <f t="shared" ref="F269" si="43">IF(G269="fair",0.5,0)+IF(G269="good",0.75,0)+IF(G269="poor",0.25,0)+IF(G269="like new",0.9,0)+IF(G269="new",1,0)</f>
        <v>1</v>
      </c>
      <c r="G269" s="21" t="s">
        <v>59</v>
      </c>
      <c r="H269" s="21"/>
      <c r="I269" s="21"/>
      <c r="J269" s="21"/>
      <c r="K269" s="21"/>
      <c r="L269" s="21"/>
      <c r="M269" s="80">
        <f>169*22</f>
        <v>3718</v>
      </c>
      <c r="N269" s="22">
        <f>F269*M269</f>
        <v>3718</v>
      </c>
      <c r="O269" s="21"/>
    </row>
    <row r="271" spans="1:56">
      <c r="N271" s="84">
        <f>SUM(N6:N270)</f>
        <v>99625.25</v>
      </c>
    </row>
  </sheetData>
  <dataValidations count="4">
    <dataValidation type="list" allowBlank="1" showInputMessage="1" showErrorMessage="1" sqref="C109 C95 C88 C47 C102 C116 C205 C65 E54:E56 C2:C5" xr:uid="{B030630F-1199-4EED-8284-B365F22E06B9}">
      <formula1>"Associated to lodging, Maintenance/Operations, Food Service, Appliance, Miscellaneous"</formula1>
    </dataValidation>
    <dataValidation type="list" allowBlank="1" showInputMessage="1" showErrorMessage="1" sqref="G48:G56 G42:G43 G211" xr:uid="{B0457961-0EAA-4A9A-9766-8E5D4424BCE4}">
      <formula1>"New, Like New, Good, Fair, Poor"</formula1>
    </dataValidation>
    <dataValidation type="list" allowBlank="1" showInputMessage="1" showErrorMessage="1" sqref="H211 H15 H42" xr:uid="{B4A64AC5-E241-41DD-8B4A-F05BBD393F54}">
      <formula1>"1, .9, .75, .5, .25"</formula1>
    </dataValidation>
    <dataValidation type="list" allowBlank="1" showInputMessage="1" showErrorMessage="1" sqref="C269 C12:C15 C17:C21 C48:C56 C125:C139 C142:C155 C247:C249 C251:C262 C264:C267 C227:C239 C216:C225 C6:C10 C198:C205 C188:C196 C178:C186 C168:C176 C158:C166 C23:C46 C241:C245 C117:C123 C110:C115 C103:C108 C96:C101 C89:C94 C82:C87 C68:C80 C58:C64 C207:C214" xr:uid="{7D20EB5E-BDEF-45E0-A721-DA0948AA93F5}">
      <formula1>"Funiture and Fixtures, Kitchen Equipment, Machinery and Equipment, Office Equipment, Vechiles"</formula1>
    </dataValidation>
  </dataValidations>
  <pageMargins left="0.7" right="0.7" top="0.75" bottom="0.75" header="0.3" footer="0.3"/>
  <pageSetup scale="32" fitToHeight="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4D6B9-0C57-434E-9B8D-9F1EA93CC95C}">
  <sheetPr>
    <pageSetUpPr fitToPage="1"/>
  </sheetPr>
  <dimension ref="A1:R877"/>
  <sheetViews>
    <sheetView tabSelected="1" zoomScale="55" zoomScaleNormal="55" workbookViewId="0">
      <pane xSplit="2" ySplit="1" topLeftCell="C2" activePane="bottomRight" state="frozen"/>
      <selection pane="topRight" activeCell="C1" sqref="C1"/>
      <selection pane="bottomLeft" activeCell="A2" sqref="A2"/>
      <selection pane="bottomRight" activeCell="P874" sqref="P874"/>
    </sheetView>
  </sheetViews>
  <sheetFormatPr defaultColWidth="8.85546875" defaultRowHeight="15.75"/>
  <cols>
    <col min="1" max="1" width="26.28515625" style="11" customWidth="1"/>
    <col min="2" max="2" width="49.42578125" style="7" customWidth="1"/>
    <col min="3" max="3" width="31.140625" style="11" customWidth="1"/>
    <col min="4" max="4" width="14.42578125" style="11" customWidth="1"/>
    <col min="5" max="5" width="124.85546875" style="11" customWidth="1"/>
    <col min="6" max="6" width="9.42578125" style="11" customWidth="1"/>
    <col min="7" max="7" width="16.7109375" style="11" customWidth="1"/>
    <col min="8" max="8" width="27.42578125" style="7" customWidth="1"/>
    <col min="9" max="9" width="25.28515625" style="7" customWidth="1"/>
    <col min="10" max="10" width="31.5703125" style="7" customWidth="1"/>
    <col min="11" max="11" width="11.7109375" style="7" customWidth="1"/>
    <col min="12" max="12" width="9.85546875" style="7" customWidth="1"/>
    <col min="13" max="13" width="22.28515625" style="45" customWidth="1"/>
    <col min="14" max="14" width="21.42578125" style="7" customWidth="1"/>
    <col min="15" max="15" width="15.42578125" style="7" customWidth="1"/>
    <col min="16" max="16" width="16.28515625" style="7" customWidth="1"/>
    <col min="17" max="16384" width="8.85546875" style="7"/>
  </cols>
  <sheetData>
    <row r="1" spans="1:15" ht="31.5">
      <c r="A1" s="3" t="s">
        <v>0</v>
      </c>
      <c r="B1" s="4" t="s">
        <v>1</v>
      </c>
      <c r="C1" s="3" t="s">
        <v>2172</v>
      </c>
      <c r="D1" s="3" t="s">
        <v>2100</v>
      </c>
      <c r="E1" s="3" t="s">
        <v>3</v>
      </c>
      <c r="F1" s="3"/>
      <c r="G1" s="3" t="s">
        <v>4</v>
      </c>
      <c r="H1" s="3" t="s">
        <v>5</v>
      </c>
      <c r="I1" s="3" t="s">
        <v>6</v>
      </c>
      <c r="J1" s="3" t="s">
        <v>7</v>
      </c>
      <c r="K1" s="3" t="s">
        <v>9</v>
      </c>
      <c r="L1" s="3" t="s">
        <v>10</v>
      </c>
      <c r="M1" s="5" t="s">
        <v>2133</v>
      </c>
      <c r="N1" s="5" t="s">
        <v>12</v>
      </c>
      <c r="O1" s="6" t="s">
        <v>13</v>
      </c>
    </row>
    <row r="2" spans="1:15" ht="21" customHeight="1">
      <c r="A2" s="8" t="s">
        <v>26</v>
      </c>
      <c r="B2" s="9" t="s">
        <v>27</v>
      </c>
      <c r="C2" s="2" t="s">
        <v>2161</v>
      </c>
      <c r="D2" s="2">
        <v>6</v>
      </c>
      <c r="E2" s="2" t="s">
        <v>28</v>
      </c>
      <c r="F2" s="1">
        <f>IF(G2="fair",0.5,0)+IF(G2="good",0.75,0)+IF(G2="poor",0.25,0)+IF(G2="like new",0.9,0)+IF(G2="new",1,0)</f>
        <v>0.5</v>
      </c>
      <c r="G2" s="2" t="s">
        <v>21</v>
      </c>
      <c r="H2" s="2"/>
      <c r="I2" s="2"/>
      <c r="J2" s="2"/>
      <c r="K2" s="2"/>
      <c r="L2" s="2"/>
      <c r="M2" s="10">
        <v>1400</v>
      </c>
      <c r="N2" s="10">
        <f>F2*M2</f>
        <v>700</v>
      </c>
      <c r="O2" s="2">
        <v>2017</v>
      </c>
    </row>
    <row r="3" spans="1:15" ht="18" customHeight="1">
      <c r="A3" s="8" t="s">
        <v>26</v>
      </c>
      <c r="B3" s="9" t="s">
        <v>30</v>
      </c>
      <c r="C3" s="2" t="s">
        <v>2161</v>
      </c>
      <c r="D3" s="2">
        <v>2</v>
      </c>
      <c r="E3" s="11" t="s">
        <v>2220</v>
      </c>
      <c r="F3" s="1">
        <f>Transfer!F2</f>
        <v>0.5</v>
      </c>
      <c r="G3" s="2" t="s">
        <v>21</v>
      </c>
      <c r="H3" s="2"/>
      <c r="I3" s="2"/>
      <c r="J3" s="2"/>
      <c r="K3" s="2"/>
      <c r="L3" s="2"/>
      <c r="M3" s="10">
        <v>179.98</v>
      </c>
      <c r="N3" s="10">
        <f>F3*M3</f>
        <v>89.99</v>
      </c>
      <c r="O3" s="2">
        <v>2017</v>
      </c>
    </row>
    <row r="4" spans="1:15" ht="18" customHeight="1">
      <c r="A4" s="8" t="s">
        <v>26</v>
      </c>
      <c r="B4" s="9" t="s">
        <v>32</v>
      </c>
      <c r="C4" s="2" t="s">
        <v>2161</v>
      </c>
      <c r="D4" s="2">
        <v>3</v>
      </c>
      <c r="E4" s="2" t="s">
        <v>2221</v>
      </c>
      <c r="F4" s="1">
        <f t="shared" ref="F4:F16" si="0">IF(G4="fair",0.5,0)+IF(G4="good",0.75,0)+IF(G4="poor",0.25,0)+IF(G4="like new",0.9,0)+IF(G4="new",1,0)</f>
        <v>0.5</v>
      </c>
      <c r="G4" s="2" t="s">
        <v>21</v>
      </c>
      <c r="H4" s="2"/>
      <c r="I4" s="2"/>
      <c r="J4" s="2"/>
      <c r="K4" s="2"/>
      <c r="L4" s="2"/>
      <c r="M4" s="10">
        <v>560</v>
      </c>
      <c r="N4" s="10">
        <f>F4*M4</f>
        <v>280</v>
      </c>
      <c r="O4" s="2"/>
    </row>
    <row r="5" spans="1:15" ht="18" customHeight="1">
      <c r="A5" s="8" t="s">
        <v>26</v>
      </c>
      <c r="B5" s="9" t="s">
        <v>33</v>
      </c>
      <c r="C5" s="2" t="s">
        <v>2161</v>
      </c>
      <c r="D5" s="2">
        <v>6</v>
      </c>
      <c r="E5" s="2" t="s">
        <v>2222</v>
      </c>
      <c r="F5" s="1">
        <f t="shared" si="0"/>
        <v>0.5</v>
      </c>
      <c r="G5" s="2" t="s">
        <v>21</v>
      </c>
      <c r="H5" s="2"/>
      <c r="I5" s="2"/>
      <c r="J5" s="2"/>
      <c r="K5" s="2"/>
      <c r="L5" s="2"/>
      <c r="M5" s="10">
        <v>149.99</v>
      </c>
      <c r="N5" s="10">
        <f>F5*M5</f>
        <v>74.995000000000005</v>
      </c>
      <c r="O5" s="2">
        <v>2017</v>
      </c>
    </row>
    <row r="6" spans="1:15" ht="18" customHeight="1">
      <c r="A6" s="8" t="s">
        <v>26</v>
      </c>
      <c r="B6" s="9" t="s">
        <v>34</v>
      </c>
      <c r="C6" s="2" t="s">
        <v>2057</v>
      </c>
      <c r="D6" s="2">
        <v>17</v>
      </c>
      <c r="E6" s="2" t="s">
        <v>35</v>
      </c>
      <c r="F6" s="1">
        <f t="shared" si="0"/>
        <v>0.5</v>
      </c>
      <c r="G6" s="2" t="s">
        <v>21</v>
      </c>
      <c r="H6" s="2" t="s">
        <v>36</v>
      </c>
      <c r="I6" s="2" t="s">
        <v>37</v>
      </c>
      <c r="J6" s="2"/>
      <c r="K6" s="2"/>
      <c r="L6" s="2"/>
      <c r="M6" s="10">
        <v>418</v>
      </c>
      <c r="N6" s="10">
        <f>F6*M6</f>
        <v>209</v>
      </c>
      <c r="O6" s="2"/>
    </row>
    <row r="7" spans="1:15" ht="18" customHeight="1">
      <c r="A7" s="8" t="s">
        <v>26</v>
      </c>
      <c r="B7" s="9" t="s">
        <v>38</v>
      </c>
      <c r="C7" s="2" t="s">
        <v>2058</v>
      </c>
      <c r="D7" s="2">
        <v>1</v>
      </c>
      <c r="E7" s="2" t="s">
        <v>40</v>
      </c>
      <c r="F7" s="1">
        <f t="shared" si="0"/>
        <v>0.5</v>
      </c>
      <c r="G7" s="2" t="s">
        <v>21</v>
      </c>
      <c r="H7" s="2" t="s">
        <v>41</v>
      </c>
      <c r="I7" s="2" t="s">
        <v>42</v>
      </c>
      <c r="J7" s="2" t="s">
        <v>43</v>
      </c>
      <c r="K7" s="2"/>
      <c r="L7" s="2"/>
      <c r="M7" s="10">
        <v>214.05</v>
      </c>
      <c r="N7" s="10">
        <f>M7*F7</f>
        <v>107.02500000000001</v>
      </c>
      <c r="O7" s="2">
        <v>2017</v>
      </c>
    </row>
    <row r="8" spans="1:15" ht="18.75">
      <c r="A8" s="8" t="s">
        <v>26</v>
      </c>
      <c r="B8" s="9" t="s">
        <v>44</v>
      </c>
      <c r="C8" s="2" t="s">
        <v>2161</v>
      </c>
      <c r="D8" s="2">
        <v>1</v>
      </c>
      <c r="E8" s="2" t="s">
        <v>45</v>
      </c>
      <c r="F8" s="1">
        <f t="shared" si="0"/>
        <v>0.75</v>
      </c>
      <c r="G8" s="2" t="s">
        <v>17</v>
      </c>
      <c r="H8" s="2" t="s">
        <v>47</v>
      </c>
      <c r="I8" s="2"/>
      <c r="J8" s="2"/>
      <c r="K8" s="2"/>
      <c r="L8" s="2"/>
      <c r="M8" s="10">
        <v>104</v>
      </c>
      <c r="N8" s="10">
        <f t="shared" ref="N8:N16" si="1">F8*M8</f>
        <v>78</v>
      </c>
      <c r="O8" s="2"/>
    </row>
    <row r="9" spans="1:15" ht="18.75">
      <c r="A9" s="8" t="s">
        <v>26</v>
      </c>
      <c r="B9" s="9" t="s">
        <v>48</v>
      </c>
      <c r="C9" s="2" t="s">
        <v>2161</v>
      </c>
      <c r="D9" s="2">
        <v>1</v>
      </c>
      <c r="E9" s="2" t="s">
        <v>2224</v>
      </c>
      <c r="F9" s="1">
        <f t="shared" si="0"/>
        <v>0.75</v>
      </c>
      <c r="G9" s="2" t="s">
        <v>17</v>
      </c>
      <c r="H9" s="2" t="s">
        <v>2223</v>
      </c>
      <c r="I9" s="2"/>
      <c r="J9" s="2"/>
      <c r="K9" s="2"/>
      <c r="L9" s="2"/>
      <c r="M9" s="10">
        <v>70</v>
      </c>
      <c r="N9" s="10">
        <f t="shared" si="1"/>
        <v>52.5</v>
      </c>
      <c r="O9" s="2"/>
    </row>
    <row r="10" spans="1:15" ht="18.75">
      <c r="A10" s="8" t="s">
        <v>26</v>
      </c>
      <c r="B10" s="9" t="s">
        <v>49</v>
      </c>
      <c r="C10" s="2" t="s">
        <v>2161</v>
      </c>
      <c r="D10" s="2">
        <v>8</v>
      </c>
      <c r="E10" s="2" t="s">
        <v>2462</v>
      </c>
      <c r="F10" s="1">
        <f t="shared" si="0"/>
        <v>0.5</v>
      </c>
      <c r="G10" s="2" t="s">
        <v>21</v>
      </c>
      <c r="H10" s="2"/>
      <c r="I10" s="2"/>
      <c r="J10" s="2"/>
      <c r="K10" s="2"/>
      <c r="L10" s="2"/>
      <c r="M10" s="10">
        <f>(17*8)</f>
        <v>136</v>
      </c>
      <c r="N10" s="10">
        <f t="shared" si="1"/>
        <v>68</v>
      </c>
      <c r="O10" s="2"/>
    </row>
    <row r="11" spans="1:15" ht="18.75">
      <c r="A11" s="8" t="s">
        <v>26</v>
      </c>
      <c r="B11" s="9" t="s">
        <v>50</v>
      </c>
      <c r="C11" s="2" t="s">
        <v>2161</v>
      </c>
      <c r="D11" s="2">
        <v>2</v>
      </c>
      <c r="E11" s="2" t="s">
        <v>51</v>
      </c>
      <c r="F11" s="1">
        <f t="shared" si="0"/>
        <v>0.75</v>
      </c>
      <c r="G11" s="2" t="s">
        <v>17</v>
      </c>
      <c r="H11" s="2"/>
      <c r="I11" s="2"/>
      <c r="J11" s="2"/>
      <c r="K11" s="2"/>
      <c r="L11" s="2"/>
      <c r="M11" s="10">
        <f>18*2</f>
        <v>36</v>
      </c>
      <c r="N11" s="10">
        <f t="shared" si="1"/>
        <v>27</v>
      </c>
      <c r="O11" s="2"/>
    </row>
    <row r="12" spans="1:15" ht="18.75">
      <c r="A12" s="8" t="s">
        <v>26</v>
      </c>
      <c r="B12" s="9" t="s">
        <v>52</v>
      </c>
      <c r="C12" s="2" t="s">
        <v>2059</v>
      </c>
      <c r="D12" s="2">
        <v>2</v>
      </c>
      <c r="E12" s="2" t="s">
        <v>2225</v>
      </c>
      <c r="F12" s="1">
        <f t="shared" si="0"/>
        <v>0.5</v>
      </c>
      <c r="G12" s="2" t="s">
        <v>21</v>
      </c>
      <c r="H12" s="2"/>
      <c r="I12" s="2"/>
      <c r="J12" s="2"/>
      <c r="K12" s="2"/>
      <c r="L12" s="2"/>
      <c r="M12" s="10">
        <f>160+230</f>
        <v>390</v>
      </c>
      <c r="N12" s="10">
        <f t="shared" si="1"/>
        <v>195</v>
      </c>
      <c r="O12" s="2"/>
    </row>
    <row r="13" spans="1:15" ht="18.75">
      <c r="A13" s="8" t="s">
        <v>26</v>
      </c>
      <c r="B13" s="9" t="s">
        <v>53</v>
      </c>
      <c r="C13" s="2" t="s">
        <v>2161</v>
      </c>
      <c r="D13" s="2">
        <v>6</v>
      </c>
      <c r="E13" s="2" t="s">
        <v>54</v>
      </c>
      <c r="F13" s="1">
        <f t="shared" si="0"/>
        <v>0.5</v>
      </c>
      <c r="G13" s="2" t="s">
        <v>21</v>
      </c>
      <c r="H13" s="2"/>
      <c r="I13" s="2"/>
      <c r="J13" s="2"/>
      <c r="K13" s="2"/>
      <c r="L13" s="2"/>
      <c r="M13" s="10">
        <f>15.99*3</f>
        <v>47.97</v>
      </c>
      <c r="N13" s="10">
        <f t="shared" si="1"/>
        <v>23.984999999999999</v>
      </c>
      <c r="O13" s="2"/>
    </row>
    <row r="14" spans="1:15" ht="18.75">
      <c r="A14" s="8" t="s">
        <v>26</v>
      </c>
      <c r="B14" s="9" t="s">
        <v>55</v>
      </c>
      <c r="C14" s="2" t="s">
        <v>2059</v>
      </c>
      <c r="D14" s="2">
        <v>26</v>
      </c>
      <c r="E14" s="2" t="s">
        <v>56</v>
      </c>
      <c r="F14" s="1">
        <f t="shared" si="0"/>
        <v>0.75</v>
      </c>
      <c r="G14" s="2" t="s">
        <v>17</v>
      </c>
      <c r="H14" s="2"/>
      <c r="I14" s="2"/>
      <c r="J14" s="2"/>
      <c r="K14" s="2"/>
      <c r="L14" s="2"/>
      <c r="M14" s="10">
        <f>6.49*11+25*7+50*8</f>
        <v>646.39</v>
      </c>
      <c r="N14" s="10">
        <f t="shared" si="1"/>
        <v>484.79250000000002</v>
      </c>
      <c r="O14" s="2"/>
    </row>
    <row r="15" spans="1:15" ht="18.75">
      <c r="A15" s="8" t="s">
        <v>26</v>
      </c>
      <c r="B15" s="9" t="s">
        <v>60</v>
      </c>
      <c r="C15" s="2" t="s">
        <v>2161</v>
      </c>
      <c r="D15" s="2">
        <v>1</v>
      </c>
      <c r="E15" s="2" t="s">
        <v>61</v>
      </c>
      <c r="F15" s="1">
        <f t="shared" si="0"/>
        <v>0.5</v>
      </c>
      <c r="G15" s="2" t="s">
        <v>21</v>
      </c>
      <c r="H15" s="2" t="s">
        <v>62</v>
      </c>
      <c r="I15" s="2" t="s">
        <v>63</v>
      </c>
      <c r="J15" s="2"/>
      <c r="K15" s="2"/>
      <c r="L15" s="2"/>
      <c r="M15" s="10">
        <v>65</v>
      </c>
      <c r="N15" s="10">
        <f t="shared" si="1"/>
        <v>32.5</v>
      </c>
      <c r="O15" s="2">
        <v>2017</v>
      </c>
    </row>
    <row r="16" spans="1:15" ht="18.75">
      <c r="A16" s="8" t="s">
        <v>26</v>
      </c>
      <c r="B16" s="9" t="s">
        <v>787</v>
      </c>
      <c r="C16" s="2" t="s">
        <v>2161</v>
      </c>
      <c r="D16" s="2">
        <f>16+4+8+2+5+1+10+2+8+1-5</f>
        <v>52</v>
      </c>
      <c r="E16" s="2" t="s">
        <v>2473</v>
      </c>
      <c r="F16" s="1">
        <f t="shared" si="0"/>
        <v>0.5</v>
      </c>
      <c r="G16" s="2" t="s">
        <v>21</v>
      </c>
      <c r="H16" s="2"/>
      <c r="I16" s="2"/>
      <c r="J16" s="2"/>
      <c r="K16" s="2"/>
      <c r="L16" s="2"/>
      <c r="M16" s="10">
        <f>5*52</f>
        <v>260</v>
      </c>
      <c r="N16" s="10">
        <f t="shared" si="1"/>
        <v>130</v>
      </c>
      <c r="O16" s="2"/>
    </row>
    <row r="18" spans="1:15" ht="18" customHeight="1">
      <c r="A18" s="8" t="s">
        <v>84</v>
      </c>
      <c r="B18" s="9" t="s">
        <v>64</v>
      </c>
      <c r="C18" s="13" t="s">
        <v>2161</v>
      </c>
      <c r="D18" s="2">
        <v>1</v>
      </c>
      <c r="E18" s="14" t="s">
        <v>2101</v>
      </c>
      <c r="F18" s="1">
        <f t="shared" ref="F18:F25" si="2">IF(G18="fair",0.5,0)+IF(G18="good",0.75,0)+IF(G18="poor",0.25,0)+IF(G18="like new",0.9,0)+IF(G18="new",1,0)</f>
        <v>0.75</v>
      </c>
      <c r="G18" s="2" t="s">
        <v>17</v>
      </c>
      <c r="H18" s="2"/>
      <c r="I18" s="2"/>
      <c r="J18" s="2"/>
      <c r="K18" s="2" t="s">
        <v>65</v>
      </c>
      <c r="L18" s="2"/>
      <c r="M18" s="10">
        <v>149.99</v>
      </c>
      <c r="N18" s="10">
        <f t="shared" ref="N18:N25" si="3">F18*M18</f>
        <v>112.49250000000001</v>
      </c>
      <c r="O18" s="2">
        <v>2017</v>
      </c>
    </row>
    <row r="19" spans="1:15" ht="18" customHeight="1">
      <c r="A19" s="8" t="s">
        <v>84</v>
      </c>
      <c r="B19" s="9" t="s">
        <v>66</v>
      </c>
      <c r="C19" s="13" t="s">
        <v>2059</v>
      </c>
      <c r="D19" s="2">
        <v>1</v>
      </c>
      <c r="E19" s="14" t="s">
        <v>67</v>
      </c>
      <c r="F19" s="1">
        <f t="shared" si="2"/>
        <v>0.5</v>
      </c>
      <c r="G19" s="2" t="s">
        <v>29</v>
      </c>
      <c r="H19" s="2" t="s">
        <v>68</v>
      </c>
      <c r="I19" s="2" t="s">
        <v>69</v>
      </c>
      <c r="J19" s="2" t="s">
        <v>70</v>
      </c>
      <c r="K19" s="2"/>
      <c r="L19" s="2"/>
      <c r="M19" s="10">
        <v>350</v>
      </c>
      <c r="N19" s="10">
        <f t="shared" si="3"/>
        <v>175</v>
      </c>
      <c r="O19" s="2"/>
    </row>
    <row r="20" spans="1:15" ht="18" customHeight="1">
      <c r="A20" s="8" t="s">
        <v>84</v>
      </c>
      <c r="B20" s="9" t="s">
        <v>71</v>
      </c>
      <c r="C20" s="13" t="s">
        <v>2161</v>
      </c>
      <c r="D20" s="2">
        <v>1</v>
      </c>
      <c r="E20" s="14" t="s">
        <v>72</v>
      </c>
      <c r="F20" s="1">
        <f t="shared" si="2"/>
        <v>0.75</v>
      </c>
      <c r="G20" s="2" t="s">
        <v>17</v>
      </c>
      <c r="H20" s="2"/>
      <c r="I20" s="2"/>
      <c r="J20" s="2"/>
      <c r="K20" s="2"/>
      <c r="L20" s="2"/>
      <c r="M20" s="10">
        <v>60</v>
      </c>
      <c r="N20" s="10">
        <f t="shared" si="3"/>
        <v>45</v>
      </c>
      <c r="O20" s="2"/>
    </row>
    <row r="21" spans="1:15" ht="18.75">
      <c r="A21" s="8" t="s">
        <v>84</v>
      </c>
      <c r="B21" s="9" t="s">
        <v>74</v>
      </c>
      <c r="C21" s="13" t="s">
        <v>2057</v>
      </c>
      <c r="D21" s="2">
        <v>1</v>
      </c>
      <c r="E21" s="14" t="s">
        <v>75</v>
      </c>
      <c r="F21" s="1">
        <f t="shared" si="2"/>
        <v>0.75</v>
      </c>
      <c r="G21" s="2" t="s">
        <v>17</v>
      </c>
      <c r="H21" s="2"/>
      <c r="I21" s="2"/>
      <c r="J21" s="2"/>
      <c r="K21" s="2"/>
      <c r="L21" s="2"/>
      <c r="M21" s="10">
        <v>70</v>
      </c>
      <c r="N21" s="10">
        <f t="shared" si="3"/>
        <v>52.5</v>
      </c>
      <c r="O21" s="2"/>
    </row>
    <row r="22" spans="1:15" ht="18.75">
      <c r="A22" s="8" t="s">
        <v>84</v>
      </c>
      <c r="B22" s="9" t="s">
        <v>76</v>
      </c>
      <c r="C22" s="13" t="s">
        <v>2161</v>
      </c>
      <c r="D22" s="2">
        <v>3</v>
      </c>
      <c r="E22" s="14" t="s">
        <v>2226</v>
      </c>
      <c r="F22" s="1">
        <f t="shared" si="2"/>
        <v>0.5</v>
      </c>
      <c r="G22" s="2" t="s">
        <v>21</v>
      </c>
      <c r="H22" s="2"/>
      <c r="I22" s="2"/>
      <c r="J22" s="2"/>
      <c r="K22" s="2"/>
      <c r="L22" s="2"/>
      <c r="M22" s="10">
        <v>30</v>
      </c>
      <c r="N22" s="10">
        <f t="shared" si="3"/>
        <v>15</v>
      </c>
      <c r="O22" s="2"/>
    </row>
    <row r="23" spans="1:15" ht="18.75">
      <c r="A23" s="8" t="s">
        <v>84</v>
      </c>
      <c r="B23" s="9" t="s">
        <v>77</v>
      </c>
      <c r="C23" s="13" t="s">
        <v>2161</v>
      </c>
      <c r="D23" s="2">
        <v>1</v>
      </c>
      <c r="E23" s="14" t="s">
        <v>78</v>
      </c>
      <c r="F23" s="1">
        <f t="shared" si="2"/>
        <v>0.75</v>
      </c>
      <c r="G23" s="2" t="s">
        <v>17</v>
      </c>
      <c r="H23" s="2"/>
      <c r="I23" s="2"/>
      <c r="J23" s="2"/>
      <c r="K23" s="2"/>
      <c r="L23" s="2"/>
      <c r="M23" s="10">
        <v>200</v>
      </c>
      <c r="N23" s="10">
        <f t="shared" si="3"/>
        <v>150</v>
      </c>
      <c r="O23" s="2"/>
    </row>
    <row r="24" spans="1:15" ht="18.75">
      <c r="A24" s="8" t="s">
        <v>84</v>
      </c>
      <c r="B24" s="9" t="s">
        <v>82</v>
      </c>
      <c r="C24" s="2" t="s">
        <v>2161</v>
      </c>
      <c r="D24" s="2">
        <v>1</v>
      </c>
      <c r="E24" s="2"/>
      <c r="F24" s="1">
        <f t="shared" si="2"/>
        <v>0.5</v>
      </c>
      <c r="G24" s="2" t="s">
        <v>21</v>
      </c>
      <c r="H24" s="2"/>
      <c r="I24" s="2"/>
      <c r="J24" s="2"/>
      <c r="K24" s="2"/>
      <c r="L24" s="2"/>
      <c r="M24" s="10"/>
      <c r="N24" s="10">
        <f t="shared" si="3"/>
        <v>0</v>
      </c>
      <c r="O24" s="2"/>
    </row>
    <row r="25" spans="1:15" ht="18.75">
      <c r="A25" s="8" t="s">
        <v>84</v>
      </c>
      <c r="B25" s="9" t="s">
        <v>83</v>
      </c>
      <c r="C25" s="2" t="s">
        <v>2161</v>
      </c>
      <c r="D25" s="2">
        <v>1</v>
      </c>
      <c r="E25" s="2"/>
      <c r="F25" s="1">
        <f t="shared" si="2"/>
        <v>0.5</v>
      </c>
      <c r="G25" s="2" t="s">
        <v>21</v>
      </c>
      <c r="H25" s="2"/>
      <c r="I25" s="2"/>
      <c r="J25" s="2"/>
      <c r="K25" s="2"/>
      <c r="L25" s="2"/>
      <c r="M25" s="10">
        <v>20</v>
      </c>
      <c r="N25" s="10">
        <f t="shared" si="3"/>
        <v>10</v>
      </c>
      <c r="O25" s="2"/>
    </row>
    <row r="27" spans="1:15" ht="18.75">
      <c r="A27" s="11" t="s">
        <v>118</v>
      </c>
      <c r="B27" s="9" t="s">
        <v>102</v>
      </c>
      <c r="C27" s="2" t="s">
        <v>2059</v>
      </c>
      <c r="D27" s="2"/>
      <c r="E27" s="2"/>
      <c r="F27" s="1">
        <f t="shared" ref="F27:F41" si="4">IF(G27="fair",0.5,0)+IF(G27="good",0.75,0)+IF(G27="poor",0.25,0)+IF(G27="like new",0.9,0)+IF(G27="new",1,0)</f>
        <v>0.75</v>
      </c>
      <c r="G27" s="2" t="s">
        <v>17</v>
      </c>
      <c r="H27" s="14"/>
      <c r="I27" s="2"/>
      <c r="J27" s="2"/>
      <c r="K27" s="2"/>
      <c r="L27" s="2"/>
      <c r="M27" s="10">
        <v>500</v>
      </c>
      <c r="N27" s="10">
        <f t="shared" ref="N27:N41" si="5">F27*M27</f>
        <v>375</v>
      </c>
      <c r="O27" s="2"/>
    </row>
    <row r="28" spans="1:15" ht="18.75">
      <c r="A28" s="11" t="s">
        <v>118</v>
      </c>
      <c r="B28" s="9" t="s">
        <v>103</v>
      </c>
      <c r="C28" s="2" t="s">
        <v>2161</v>
      </c>
      <c r="D28" s="2">
        <v>1</v>
      </c>
      <c r="E28" s="2" t="s">
        <v>104</v>
      </c>
      <c r="F28" s="1">
        <f t="shared" si="4"/>
        <v>0.75</v>
      </c>
      <c r="G28" s="2" t="s">
        <v>17</v>
      </c>
      <c r="H28" s="14"/>
      <c r="I28" s="2"/>
      <c r="J28" s="2"/>
      <c r="K28" s="2"/>
      <c r="L28" s="2"/>
      <c r="M28" s="10">
        <v>75</v>
      </c>
      <c r="N28" s="10">
        <f t="shared" si="5"/>
        <v>56.25</v>
      </c>
      <c r="O28" s="2"/>
    </row>
    <row r="29" spans="1:15" ht="18.75">
      <c r="A29" s="11" t="s">
        <v>118</v>
      </c>
      <c r="B29" s="9" t="s">
        <v>105</v>
      </c>
      <c r="C29" s="2" t="s">
        <v>2161</v>
      </c>
      <c r="D29" s="2">
        <v>1</v>
      </c>
      <c r="E29" s="2"/>
      <c r="F29" s="1">
        <f t="shared" si="4"/>
        <v>0.75</v>
      </c>
      <c r="G29" s="2" t="s">
        <v>17</v>
      </c>
      <c r="H29" s="2"/>
      <c r="I29" s="2"/>
      <c r="J29" s="2"/>
      <c r="K29" s="2"/>
      <c r="L29" s="2"/>
      <c r="M29" s="10"/>
      <c r="N29" s="10">
        <f t="shared" si="5"/>
        <v>0</v>
      </c>
      <c r="O29" s="2"/>
    </row>
    <row r="30" spans="1:15" ht="18.75">
      <c r="A30" s="11" t="s">
        <v>118</v>
      </c>
      <c r="B30" s="9" t="s">
        <v>106</v>
      </c>
      <c r="C30" s="2" t="s">
        <v>2161</v>
      </c>
      <c r="D30" s="2">
        <v>1</v>
      </c>
      <c r="E30" s="2" t="s">
        <v>107</v>
      </c>
      <c r="F30" s="1">
        <f t="shared" si="4"/>
        <v>0.75</v>
      </c>
      <c r="G30" s="2" t="s">
        <v>17</v>
      </c>
      <c r="H30" s="2" t="s">
        <v>108</v>
      </c>
      <c r="I30" s="2"/>
      <c r="J30" s="2"/>
      <c r="K30" s="2" t="s">
        <v>109</v>
      </c>
      <c r="L30" s="2" t="s">
        <v>110</v>
      </c>
      <c r="M30" s="10">
        <v>52</v>
      </c>
      <c r="N30" s="10">
        <f t="shared" si="5"/>
        <v>39</v>
      </c>
      <c r="O30" s="2">
        <v>2016</v>
      </c>
    </row>
    <row r="31" spans="1:15" ht="18.75">
      <c r="A31" s="11" t="s">
        <v>118</v>
      </c>
      <c r="B31" s="9" t="s">
        <v>111</v>
      </c>
      <c r="C31" s="2" t="s">
        <v>2161</v>
      </c>
      <c r="D31" s="2">
        <v>1</v>
      </c>
      <c r="E31" s="2" t="s">
        <v>112</v>
      </c>
      <c r="F31" s="1">
        <f t="shared" si="4"/>
        <v>0.75</v>
      </c>
      <c r="G31" s="2" t="s">
        <v>17</v>
      </c>
      <c r="H31" s="2"/>
      <c r="I31" s="2"/>
      <c r="J31" s="2"/>
      <c r="K31" s="2"/>
      <c r="L31" s="2"/>
      <c r="M31" s="10">
        <f>21</f>
        <v>21</v>
      </c>
      <c r="N31" s="10">
        <f t="shared" si="5"/>
        <v>15.75</v>
      </c>
      <c r="O31" s="2"/>
    </row>
    <row r="32" spans="1:15" ht="18.75">
      <c r="A32" s="11" t="s">
        <v>118</v>
      </c>
      <c r="B32" s="9" t="s">
        <v>113</v>
      </c>
      <c r="C32" s="2" t="s">
        <v>2058</v>
      </c>
      <c r="D32" s="2">
        <v>1</v>
      </c>
      <c r="E32" s="2" t="s">
        <v>114</v>
      </c>
      <c r="F32" s="1">
        <f t="shared" si="4"/>
        <v>0.5</v>
      </c>
      <c r="G32" s="2" t="s">
        <v>21</v>
      </c>
      <c r="H32" s="2"/>
      <c r="I32" s="2"/>
      <c r="J32" s="2"/>
      <c r="K32" s="2">
        <v>1</v>
      </c>
      <c r="L32" s="2">
        <v>1</v>
      </c>
      <c r="M32" s="10">
        <v>7</v>
      </c>
      <c r="N32" s="10">
        <f t="shared" si="5"/>
        <v>3.5</v>
      </c>
      <c r="O32" s="2"/>
    </row>
    <row r="33" spans="1:15" ht="18.75">
      <c r="A33" s="11" t="s">
        <v>118</v>
      </c>
      <c r="B33" s="9" t="s">
        <v>115</v>
      </c>
      <c r="C33" s="2" t="s">
        <v>2058</v>
      </c>
      <c r="D33" s="2">
        <v>1</v>
      </c>
      <c r="E33" s="2" t="s">
        <v>116</v>
      </c>
      <c r="F33" s="1">
        <f t="shared" si="4"/>
        <v>0.9</v>
      </c>
      <c r="G33" s="2" t="s">
        <v>117</v>
      </c>
      <c r="H33" s="2"/>
      <c r="I33" s="2"/>
      <c r="J33" s="2"/>
      <c r="K33" s="2">
        <v>4</v>
      </c>
      <c r="L33" s="2">
        <v>1.5</v>
      </c>
      <c r="M33" s="10">
        <v>200</v>
      </c>
      <c r="N33" s="10">
        <f t="shared" si="5"/>
        <v>180</v>
      </c>
      <c r="O33" s="2"/>
    </row>
    <row r="34" spans="1:15" ht="18.75">
      <c r="A34" s="11" t="s">
        <v>118</v>
      </c>
      <c r="B34" s="9" t="s">
        <v>125</v>
      </c>
      <c r="C34" s="2" t="s">
        <v>2058</v>
      </c>
      <c r="D34" s="2">
        <v>1</v>
      </c>
      <c r="E34" s="2" t="s">
        <v>126</v>
      </c>
      <c r="F34" s="1">
        <f t="shared" si="4"/>
        <v>0.9</v>
      </c>
      <c r="G34" s="2" t="s">
        <v>31</v>
      </c>
      <c r="H34" s="2"/>
      <c r="I34" s="15"/>
      <c r="J34" s="2"/>
      <c r="K34" s="2" t="s">
        <v>127</v>
      </c>
      <c r="L34" s="2" t="s">
        <v>128</v>
      </c>
      <c r="M34" s="10">
        <v>100</v>
      </c>
      <c r="N34" s="10">
        <f t="shared" si="5"/>
        <v>90</v>
      </c>
      <c r="O34" s="2">
        <v>2012</v>
      </c>
    </row>
    <row r="35" spans="1:15" ht="18.75">
      <c r="A35" s="11" t="s">
        <v>118</v>
      </c>
      <c r="B35" s="9" t="s">
        <v>98</v>
      </c>
      <c r="C35" s="2" t="s">
        <v>2058</v>
      </c>
      <c r="D35" s="2">
        <v>1</v>
      </c>
      <c r="E35" s="2" t="s">
        <v>129</v>
      </c>
      <c r="F35" s="1">
        <f t="shared" si="4"/>
        <v>0.75</v>
      </c>
      <c r="G35" s="2" t="s">
        <v>16</v>
      </c>
      <c r="H35" s="14" t="s">
        <v>130</v>
      </c>
      <c r="I35" s="15"/>
      <c r="J35" s="2"/>
      <c r="K35" s="16" t="s">
        <v>131</v>
      </c>
      <c r="L35" s="17"/>
      <c r="M35" s="10">
        <v>900</v>
      </c>
      <c r="N35" s="10">
        <f t="shared" si="5"/>
        <v>675</v>
      </c>
      <c r="O35" s="2"/>
    </row>
    <row r="36" spans="1:15" ht="39.75" customHeight="1">
      <c r="A36" s="11" t="s">
        <v>118</v>
      </c>
      <c r="B36" s="9" t="s">
        <v>132</v>
      </c>
      <c r="C36" s="2" t="s">
        <v>2161</v>
      </c>
      <c r="D36" s="2">
        <v>1</v>
      </c>
      <c r="E36" s="2" t="s">
        <v>104</v>
      </c>
      <c r="F36" s="1">
        <f t="shared" si="4"/>
        <v>0.75</v>
      </c>
      <c r="G36" s="2" t="s">
        <v>16</v>
      </c>
      <c r="H36" s="14" t="s">
        <v>133</v>
      </c>
      <c r="I36" s="15"/>
      <c r="J36" s="2"/>
      <c r="K36" s="2"/>
      <c r="L36" s="2"/>
      <c r="M36" s="10">
        <v>75</v>
      </c>
      <c r="N36" s="10">
        <f t="shared" si="5"/>
        <v>56.25</v>
      </c>
      <c r="O36" s="2"/>
    </row>
    <row r="37" spans="1:15" ht="18.75">
      <c r="A37" s="11" t="s">
        <v>118</v>
      </c>
      <c r="B37" s="9" t="s">
        <v>134</v>
      </c>
      <c r="C37" s="2" t="s">
        <v>2057</v>
      </c>
      <c r="D37" s="2">
        <v>2</v>
      </c>
      <c r="E37" s="2"/>
      <c r="F37" s="1">
        <f t="shared" si="4"/>
        <v>0.75</v>
      </c>
      <c r="G37" s="2" t="s">
        <v>16</v>
      </c>
      <c r="H37" s="14" t="s">
        <v>135</v>
      </c>
      <c r="I37" s="2" t="s">
        <v>136</v>
      </c>
      <c r="K37" s="2" t="s">
        <v>109</v>
      </c>
      <c r="L37" s="2" t="s">
        <v>137</v>
      </c>
      <c r="M37" s="10">
        <v>570</v>
      </c>
      <c r="N37" s="10">
        <f t="shared" si="5"/>
        <v>427.5</v>
      </c>
      <c r="O37" s="2"/>
    </row>
    <row r="38" spans="1:15" ht="18.75">
      <c r="A38" s="11" t="s">
        <v>118</v>
      </c>
      <c r="B38" s="9" t="s">
        <v>138</v>
      </c>
      <c r="C38" s="2" t="s">
        <v>2161</v>
      </c>
      <c r="D38" s="2">
        <v>3</v>
      </c>
      <c r="E38" s="2" t="s">
        <v>139</v>
      </c>
      <c r="F38" s="1">
        <f t="shared" si="4"/>
        <v>0.5</v>
      </c>
      <c r="G38" s="2" t="s">
        <v>21</v>
      </c>
      <c r="H38" s="14"/>
      <c r="I38" s="15"/>
      <c r="J38" s="2"/>
      <c r="K38" s="2"/>
      <c r="L38" s="2"/>
      <c r="M38" s="10">
        <v>66</v>
      </c>
      <c r="N38" s="10">
        <f t="shared" si="5"/>
        <v>33</v>
      </c>
      <c r="O38" s="2"/>
    </row>
    <row r="39" spans="1:15" ht="18.75">
      <c r="A39" s="11" t="s">
        <v>118</v>
      </c>
      <c r="B39" s="9" t="s">
        <v>140</v>
      </c>
      <c r="C39" s="2" t="s">
        <v>2161</v>
      </c>
      <c r="D39" s="2">
        <v>1</v>
      </c>
      <c r="E39" s="2" t="s">
        <v>112</v>
      </c>
      <c r="F39" s="1">
        <f t="shared" si="4"/>
        <v>0.75</v>
      </c>
      <c r="G39" s="2" t="s">
        <v>17</v>
      </c>
      <c r="H39" s="14"/>
      <c r="I39" s="15"/>
      <c r="J39" s="2"/>
      <c r="K39" s="2"/>
      <c r="L39" s="2"/>
      <c r="M39" s="10">
        <v>60</v>
      </c>
      <c r="N39" s="10">
        <f t="shared" si="5"/>
        <v>45</v>
      </c>
      <c r="O39" s="2"/>
    </row>
    <row r="40" spans="1:15" ht="18.75">
      <c r="A40" s="11" t="s">
        <v>118</v>
      </c>
      <c r="B40" s="9" t="s">
        <v>141</v>
      </c>
      <c r="C40" s="2" t="s">
        <v>2161</v>
      </c>
      <c r="D40" s="2">
        <v>1</v>
      </c>
      <c r="E40" s="2" t="s">
        <v>142</v>
      </c>
      <c r="F40" s="1">
        <f t="shared" si="4"/>
        <v>0.25</v>
      </c>
      <c r="G40" s="2" t="s">
        <v>143</v>
      </c>
      <c r="H40" s="14"/>
      <c r="I40" s="15"/>
      <c r="J40" s="2"/>
      <c r="K40" s="2"/>
      <c r="L40" s="2"/>
      <c r="M40" s="10">
        <v>100</v>
      </c>
      <c r="N40" s="10">
        <f t="shared" si="5"/>
        <v>25</v>
      </c>
      <c r="O40" s="2"/>
    </row>
    <row r="41" spans="1:15" ht="18.75">
      <c r="A41" s="11" t="s">
        <v>118</v>
      </c>
      <c r="B41" s="9" t="s">
        <v>144</v>
      </c>
      <c r="C41" s="2" t="s">
        <v>2161</v>
      </c>
      <c r="D41" s="2">
        <v>1</v>
      </c>
      <c r="E41" s="2" t="s">
        <v>145</v>
      </c>
      <c r="F41" s="1">
        <f t="shared" si="4"/>
        <v>0.5</v>
      </c>
      <c r="G41" s="2" t="s">
        <v>21</v>
      </c>
      <c r="H41" s="14"/>
      <c r="I41" s="15"/>
      <c r="J41" s="2"/>
      <c r="K41" s="2"/>
      <c r="L41" s="2"/>
      <c r="M41" s="10">
        <v>150</v>
      </c>
      <c r="N41" s="10">
        <f t="shared" si="5"/>
        <v>75</v>
      </c>
      <c r="O41" s="2"/>
    </row>
    <row r="43" spans="1:15" ht="18" customHeight="1">
      <c r="A43" s="18" t="s">
        <v>152</v>
      </c>
      <c r="B43" s="9" t="s">
        <v>180</v>
      </c>
      <c r="C43" s="2" t="s">
        <v>2161</v>
      </c>
      <c r="D43" s="2">
        <v>12</v>
      </c>
      <c r="E43" s="2" t="s">
        <v>2227</v>
      </c>
      <c r="F43" s="1">
        <f t="shared" ref="F43:F76" si="6">IF(G43="fair",0.5,0)+IF(G43="good",0.75,0)+IF(G43="poor",0.25,0)+IF(G43="like new",0.9,0)+IF(G43="new",1,0)</f>
        <v>0.75</v>
      </c>
      <c r="G43" s="2" t="s">
        <v>17</v>
      </c>
      <c r="H43" s="14"/>
      <c r="I43" s="2"/>
      <c r="J43" s="2"/>
      <c r="K43" s="2" t="s">
        <v>181</v>
      </c>
      <c r="L43" s="2"/>
      <c r="M43" s="10">
        <v>2700</v>
      </c>
      <c r="N43" s="10">
        <f t="shared" ref="N43:N76" si="7">F43*M43</f>
        <v>2025</v>
      </c>
      <c r="O43" s="2">
        <v>2014</v>
      </c>
    </row>
    <row r="44" spans="1:15" ht="35.25" customHeight="1">
      <c r="A44" s="18" t="s">
        <v>152</v>
      </c>
      <c r="B44" s="9" t="s">
        <v>182</v>
      </c>
      <c r="C44" s="2" t="s">
        <v>2161</v>
      </c>
      <c r="D44" s="2">
        <v>2</v>
      </c>
      <c r="E44" s="2" t="s">
        <v>2230</v>
      </c>
      <c r="F44" s="1">
        <f t="shared" si="6"/>
        <v>0.75</v>
      </c>
      <c r="G44" s="2" t="s">
        <v>17</v>
      </c>
      <c r="H44" s="14"/>
      <c r="I44" s="2"/>
      <c r="J44" s="2"/>
      <c r="K44" s="2"/>
      <c r="L44" s="2"/>
      <c r="M44" s="10">
        <v>280</v>
      </c>
      <c r="N44" s="10">
        <f t="shared" si="7"/>
        <v>210</v>
      </c>
      <c r="O44" s="2">
        <v>2018</v>
      </c>
    </row>
    <row r="45" spans="1:15" ht="18" customHeight="1">
      <c r="A45" s="18" t="s">
        <v>152</v>
      </c>
      <c r="B45" s="9" t="s">
        <v>183</v>
      </c>
      <c r="C45" s="2" t="s">
        <v>2161</v>
      </c>
      <c r="D45" s="2">
        <v>48</v>
      </c>
      <c r="E45" s="2" t="s">
        <v>2228</v>
      </c>
      <c r="F45" s="1">
        <f t="shared" si="6"/>
        <v>0.75</v>
      </c>
      <c r="G45" s="2" t="s">
        <v>17</v>
      </c>
      <c r="H45" s="14" t="s">
        <v>184</v>
      </c>
      <c r="I45" s="2" t="s">
        <v>185</v>
      </c>
      <c r="J45" s="2"/>
      <c r="K45" s="2"/>
      <c r="L45" s="2"/>
      <c r="M45" s="10">
        <f>75*48</f>
        <v>3600</v>
      </c>
      <c r="N45" s="10">
        <f t="shared" si="7"/>
        <v>2700</v>
      </c>
      <c r="O45" s="2">
        <v>2014</v>
      </c>
    </row>
    <row r="46" spans="1:15" ht="18" customHeight="1">
      <c r="A46" s="18" t="s">
        <v>152</v>
      </c>
      <c r="B46" s="9" t="s">
        <v>186</v>
      </c>
      <c r="C46" s="2" t="s">
        <v>2161</v>
      </c>
      <c r="D46" s="2">
        <v>4</v>
      </c>
      <c r="E46" s="2" t="s">
        <v>2229</v>
      </c>
      <c r="F46" s="1">
        <f t="shared" si="6"/>
        <v>0.5</v>
      </c>
      <c r="G46" s="2" t="s">
        <v>21</v>
      </c>
      <c r="H46" s="14"/>
      <c r="I46" s="2"/>
      <c r="J46" s="2"/>
      <c r="K46" s="2"/>
      <c r="L46" s="2"/>
      <c r="M46" s="10">
        <f>68*4</f>
        <v>272</v>
      </c>
      <c r="N46" s="10">
        <f t="shared" si="7"/>
        <v>136</v>
      </c>
      <c r="O46" s="2">
        <v>2014</v>
      </c>
    </row>
    <row r="47" spans="1:15" ht="20.25" customHeight="1">
      <c r="A47" s="18" t="s">
        <v>152</v>
      </c>
      <c r="B47" s="9" t="s">
        <v>1168</v>
      </c>
      <c r="C47" s="2" t="s">
        <v>2161</v>
      </c>
      <c r="D47" s="2">
        <v>4</v>
      </c>
      <c r="E47" s="2" t="s">
        <v>2427</v>
      </c>
      <c r="F47" s="1">
        <f t="shared" si="6"/>
        <v>0.5</v>
      </c>
      <c r="G47" s="2" t="s">
        <v>21</v>
      </c>
      <c r="H47" s="14" t="s">
        <v>187</v>
      </c>
      <c r="I47" s="2"/>
      <c r="J47" s="2"/>
      <c r="K47" s="2"/>
      <c r="L47" s="2"/>
      <c r="M47" s="10">
        <f>34*4</f>
        <v>136</v>
      </c>
      <c r="N47" s="10">
        <f t="shared" si="7"/>
        <v>68</v>
      </c>
      <c r="O47" s="2">
        <v>2019</v>
      </c>
    </row>
    <row r="48" spans="1:15" ht="18" customHeight="1">
      <c r="A48" s="18" t="s">
        <v>152</v>
      </c>
      <c r="B48" s="9" t="s">
        <v>188</v>
      </c>
      <c r="C48" s="2" t="s">
        <v>2161</v>
      </c>
      <c r="D48" s="2">
        <v>6</v>
      </c>
      <c r="E48" s="2" t="s">
        <v>189</v>
      </c>
      <c r="F48" s="1">
        <f t="shared" si="6"/>
        <v>0.5</v>
      </c>
      <c r="G48" s="2" t="s">
        <v>21</v>
      </c>
      <c r="H48" s="2" t="s">
        <v>190</v>
      </c>
      <c r="I48" s="14" t="s">
        <v>191</v>
      </c>
      <c r="J48" s="2"/>
      <c r="K48" s="2"/>
      <c r="L48" s="2"/>
      <c r="M48" s="10">
        <v>147</v>
      </c>
      <c r="N48" s="10">
        <f t="shared" si="7"/>
        <v>73.5</v>
      </c>
      <c r="O48" s="2"/>
    </row>
    <row r="49" spans="1:15" ht="18" customHeight="1">
      <c r="A49" s="18" t="s">
        <v>152</v>
      </c>
      <c r="B49" s="9" t="s">
        <v>192</v>
      </c>
      <c r="C49" s="2" t="s">
        <v>2161</v>
      </c>
      <c r="D49" s="2">
        <v>4</v>
      </c>
      <c r="E49" s="2" t="s">
        <v>2231</v>
      </c>
      <c r="F49" s="1">
        <f t="shared" si="6"/>
        <v>0.75</v>
      </c>
      <c r="G49" s="2" t="s">
        <v>17</v>
      </c>
      <c r="H49" s="2"/>
      <c r="I49" s="14"/>
      <c r="J49" s="2"/>
      <c r="K49" s="2"/>
      <c r="L49" s="2"/>
      <c r="M49" s="10">
        <v>872</v>
      </c>
      <c r="N49" s="10">
        <f t="shared" si="7"/>
        <v>654</v>
      </c>
      <c r="O49" s="2">
        <v>2018</v>
      </c>
    </row>
    <row r="50" spans="1:15" ht="18" customHeight="1">
      <c r="A50" s="18" t="s">
        <v>152</v>
      </c>
      <c r="B50" s="9" t="s">
        <v>193</v>
      </c>
      <c r="C50" s="2" t="s">
        <v>2161</v>
      </c>
      <c r="D50" s="2">
        <v>2</v>
      </c>
      <c r="E50" s="2" t="s">
        <v>2232</v>
      </c>
      <c r="F50" s="1">
        <f t="shared" si="6"/>
        <v>0.25</v>
      </c>
      <c r="G50" s="2" t="s">
        <v>143</v>
      </c>
      <c r="H50" s="2"/>
      <c r="I50" s="14"/>
      <c r="J50" s="2"/>
      <c r="K50" s="2"/>
      <c r="L50" s="2"/>
      <c r="M50" s="10">
        <f>200*2</f>
        <v>400</v>
      </c>
      <c r="N50" s="10">
        <f t="shared" si="7"/>
        <v>100</v>
      </c>
      <c r="O50" s="2">
        <v>2012</v>
      </c>
    </row>
    <row r="51" spans="1:15" ht="18" customHeight="1">
      <c r="A51" s="18" t="s">
        <v>152</v>
      </c>
      <c r="B51" s="9" t="s">
        <v>194</v>
      </c>
      <c r="C51" s="2" t="s">
        <v>2161</v>
      </c>
      <c r="D51" s="2">
        <v>1</v>
      </c>
      <c r="E51" s="2" t="s">
        <v>195</v>
      </c>
      <c r="F51" s="1">
        <f t="shared" si="6"/>
        <v>0.25</v>
      </c>
      <c r="G51" s="2" t="s">
        <v>143</v>
      </c>
      <c r="H51" s="14"/>
      <c r="I51" s="2"/>
      <c r="J51" s="2"/>
      <c r="K51" s="2"/>
      <c r="L51" s="2"/>
      <c r="M51" s="10">
        <v>50</v>
      </c>
      <c r="N51" s="10">
        <f t="shared" si="7"/>
        <v>12.5</v>
      </c>
      <c r="O51" s="2"/>
    </row>
    <row r="52" spans="1:15" ht="18" customHeight="1">
      <c r="A52" s="18" t="s">
        <v>152</v>
      </c>
      <c r="B52" s="9" t="s">
        <v>196</v>
      </c>
      <c r="C52" s="2" t="s">
        <v>2161</v>
      </c>
      <c r="D52" s="2">
        <v>7</v>
      </c>
      <c r="E52" s="2" t="s">
        <v>197</v>
      </c>
      <c r="F52" s="1">
        <f t="shared" si="6"/>
        <v>0.5</v>
      </c>
      <c r="G52" s="2" t="s">
        <v>21</v>
      </c>
      <c r="H52" s="14"/>
      <c r="I52" s="2"/>
      <c r="J52" s="2"/>
      <c r="K52" s="2"/>
      <c r="L52" s="2"/>
      <c r="M52" s="10">
        <f>30*7</f>
        <v>210</v>
      </c>
      <c r="N52" s="10">
        <f t="shared" si="7"/>
        <v>105</v>
      </c>
      <c r="O52" s="2"/>
    </row>
    <row r="53" spans="1:15" ht="18" customHeight="1">
      <c r="A53" s="18" t="s">
        <v>152</v>
      </c>
      <c r="B53" s="9" t="s">
        <v>198</v>
      </c>
      <c r="C53" s="2" t="s">
        <v>2161</v>
      </c>
      <c r="D53" s="2">
        <v>1</v>
      </c>
      <c r="E53" s="2" t="s">
        <v>199</v>
      </c>
      <c r="F53" s="1">
        <f t="shared" si="6"/>
        <v>0.75</v>
      </c>
      <c r="G53" s="2" t="s">
        <v>17</v>
      </c>
      <c r="H53" s="14"/>
      <c r="I53" s="2"/>
      <c r="J53" s="2"/>
      <c r="K53" s="2"/>
      <c r="L53" s="2"/>
      <c r="M53" s="10">
        <v>151.61000000000001</v>
      </c>
      <c r="N53" s="10">
        <f t="shared" si="7"/>
        <v>113.70750000000001</v>
      </c>
      <c r="O53" s="2">
        <v>2016</v>
      </c>
    </row>
    <row r="54" spans="1:15" ht="18" customHeight="1">
      <c r="A54" s="18" t="s">
        <v>152</v>
      </c>
      <c r="B54" s="9" t="s">
        <v>198</v>
      </c>
      <c r="C54" s="2" t="s">
        <v>2161</v>
      </c>
      <c r="D54" s="2">
        <v>1</v>
      </c>
      <c r="E54" s="2" t="s">
        <v>200</v>
      </c>
      <c r="F54" s="1">
        <f t="shared" si="6"/>
        <v>0.5</v>
      </c>
      <c r="G54" s="2" t="s">
        <v>21</v>
      </c>
      <c r="H54" s="14"/>
      <c r="I54" s="2"/>
      <c r="J54" s="2"/>
      <c r="K54" s="2"/>
      <c r="L54" s="2"/>
      <c r="M54" s="10">
        <v>100</v>
      </c>
      <c r="N54" s="10">
        <f t="shared" si="7"/>
        <v>50</v>
      </c>
      <c r="O54" s="2">
        <v>2012</v>
      </c>
    </row>
    <row r="55" spans="1:15" ht="18" customHeight="1">
      <c r="A55" s="18" t="s">
        <v>152</v>
      </c>
      <c r="B55" s="9" t="s">
        <v>201</v>
      </c>
      <c r="C55" s="2" t="s">
        <v>2161</v>
      </c>
      <c r="D55" s="2">
        <v>1</v>
      </c>
      <c r="E55" s="2" t="s">
        <v>202</v>
      </c>
      <c r="F55" s="1">
        <f t="shared" si="6"/>
        <v>0.5</v>
      </c>
      <c r="G55" s="2" t="s">
        <v>21</v>
      </c>
      <c r="H55" s="14"/>
      <c r="I55" s="2"/>
      <c r="J55" s="2"/>
      <c r="K55" s="2"/>
      <c r="L55" s="2"/>
      <c r="M55" s="10">
        <v>70</v>
      </c>
      <c r="N55" s="10">
        <f t="shared" si="7"/>
        <v>35</v>
      </c>
      <c r="O55" s="2">
        <v>2014</v>
      </c>
    </row>
    <row r="56" spans="1:15" ht="18" customHeight="1">
      <c r="A56" s="18" t="s">
        <v>152</v>
      </c>
      <c r="B56" s="9" t="s">
        <v>203</v>
      </c>
      <c r="C56" s="2" t="s">
        <v>2161</v>
      </c>
      <c r="D56" s="2">
        <v>1</v>
      </c>
      <c r="E56" s="2" t="s">
        <v>205</v>
      </c>
      <c r="F56" s="1">
        <f t="shared" si="6"/>
        <v>0.75</v>
      </c>
      <c r="G56" s="2" t="s">
        <v>17</v>
      </c>
      <c r="H56" s="14"/>
      <c r="I56" s="2"/>
      <c r="J56" s="2"/>
      <c r="K56" s="2"/>
      <c r="L56" s="2"/>
      <c r="M56" s="10">
        <v>400</v>
      </c>
      <c r="N56" s="10">
        <f t="shared" si="7"/>
        <v>300</v>
      </c>
      <c r="O56" s="2">
        <v>2017</v>
      </c>
    </row>
    <row r="57" spans="1:15" ht="18" customHeight="1">
      <c r="A57" s="18" t="s">
        <v>152</v>
      </c>
      <c r="B57" s="9" t="s">
        <v>206</v>
      </c>
      <c r="C57" s="2" t="s">
        <v>2161</v>
      </c>
      <c r="D57" s="2">
        <v>1</v>
      </c>
      <c r="E57" s="2" t="s">
        <v>207</v>
      </c>
      <c r="F57" s="1">
        <f t="shared" si="6"/>
        <v>0.5</v>
      </c>
      <c r="G57" s="2" t="s">
        <v>21</v>
      </c>
      <c r="H57" s="14"/>
      <c r="I57" s="2"/>
      <c r="J57" s="2"/>
      <c r="K57" s="2"/>
      <c r="L57" s="2"/>
      <c r="M57" s="10">
        <v>100</v>
      </c>
      <c r="N57" s="10">
        <f t="shared" si="7"/>
        <v>50</v>
      </c>
      <c r="O57" s="2"/>
    </row>
    <row r="58" spans="1:15" ht="18" customHeight="1">
      <c r="A58" s="18" t="s">
        <v>152</v>
      </c>
      <c r="B58" s="9" t="s">
        <v>208</v>
      </c>
      <c r="C58" s="2" t="s">
        <v>2058</v>
      </c>
      <c r="D58" s="2">
        <v>1</v>
      </c>
      <c r="E58" s="2" t="s">
        <v>209</v>
      </c>
      <c r="F58" s="1">
        <f t="shared" si="6"/>
        <v>0.75</v>
      </c>
      <c r="G58" s="2" t="s">
        <v>17</v>
      </c>
      <c r="H58" s="14" t="s">
        <v>210</v>
      </c>
      <c r="I58" s="2"/>
      <c r="J58" s="2"/>
      <c r="K58" s="2"/>
      <c r="L58" s="2"/>
      <c r="M58" s="10">
        <v>418</v>
      </c>
      <c r="N58" s="10">
        <f t="shared" si="7"/>
        <v>313.5</v>
      </c>
      <c r="O58" s="2"/>
    </row>
    <row r="59" spans="1:15" ht="18.75">
      <c r="A59" s="18" t="s">
        <v>152</v>
      </c>
      <c r="B59" s="9" t="s">
        <v>211</v>
      </c>
      <c r="C59" s="2" t="s">
        <v>2161</v>
      </c>
      <c r="D59" s="2">
        <v>3</v>
      </c>
      <c r="E59" s="2" t="s">
        <v>2233</v>
      </c>
      <c r="F59" s="1">
        <f t="shared" si="6"/>
        <v>0.5</v>
      </c>
      <c r="G59" s="2" t="s">
        <v>21</v>
      </c>
      <c r="H59" s="2"/>
      <c r="I59" s="2"/>
      <c r="J59" s="2"/>
      <c r="K59" s="2"/>
      <c r="L59" s="2"/>
      <c r="M59" s="10">
        <f>200*3</f>
        <v>600</v>
      </c>
      <c r="N59" s="10">
        <f t="shared" si="7"/>
        <v>300</v>
      </c>
      <c r="O59" s="2"/>
    </row>
    <row r="60" spans="1:15" ht="18.75">
      <c r="A60" s="18" t="s">
        <v>152</v>
      </c>
      <c r="B60" s="9" t="s">
        <v>212</v>
      </c>
      <c r="C60" s="2" t="s">
        <v>2161</v>
      </c>
      <c r="D60" s="2">
        <v>7</v>
      </c>
      <c r="E60" s="2" t="s">
        <v>2234</v>
      </c>
      <c r="F60" s="1">
        <f t="shared" si="6"/>
        <v>0.5</v>
      </c>
      <c r="G60" s="2" t="s">
        <v>21</v>
      </c>
      <c r="H60" s="14"/>
      <c r="I60" s="2"/>
      <c r="J60" s="2"/>
      <c r="K60" s="2"/>
      <c r="L60" s="2"/>
      <c r="M60" s="10">
        <f>75*7</f>
        <v>525</v>
      </c>
      <c r="N60" s="10">
        <f t="shared" si="7"/>
        <v>262.5</v>
      </c>
      <c r="O60" s="2">
        <v>2017</v>
      </c>
    </row>
    <row r="61" spans="1:15" ht="18.75">
      <c r="A61" s="18" t="s">
        <v>152</v>
      </c>
      <c r="B61" s="9" t="s">
        <v>213</v>
      </c>
      <c r="C61" s="2" t="s">
        <v>2161</v>
      </c>
      <c r="D61" s="2">
        <v>4</v>
      </c>
      <c r="E61" s="2" t="s">
        <v>2235</v>
      </c>
      <c r="F61" s="1">
        <f t="shared" si="6"/>
        <v>0.5</v>
      </c>
      <c r="G61" s="2" t="s">
        <v>21</v>
      </c>
      <c r="H61" s="14"/>
      <c r="I61" s="2"/>
      <c r="J61" s="2"/>
      <c r="K61" s="2"/>
      <c r="L61" s="2"/>
      <c r="M61" s="10">
        <f>300*4</f>
        <v>1200</v>
      </c>
      <c r="N61" s="10">
        <f t="shared" si="7"/>
        <v>600</v>
      </c>
      <c r="O61" s="2">
        <v>2012</v>
      </c>
    </row>
    <row r="62" spans="1:15" ht="18.75">
      <c r="A62" s="18" t="s">
        <v>152</v>
      </c>
      <c r="B62" s="9" t="s">
        <v>214</v>
      </c>
      <c r="C62" s="2" t="s">
        <v>2161</v>
      </c>
      <c r="D62" s="2" t="s">
        <v>2102</v>
      </c>
      <c r="E62" s="2" t="s">
        <v>2236</v>
      </c>
      <c r="F62" s="1">
        <f t="shared" si="6"/>
        <v>0.5</v>
      </c>
      <c r="G62" s="2" t="s">
        <v>21</v>
      </c>
      <c r="H62" s="14"/>
      <c r="I62" s="2"/>
      <c r="J62" s="2"/>
      <c r="K62" s="2"/>
      <c r="L62" s="2"/>
      <c r="M62" s="10">
        <f>64*4+32*12</f>
        <v>640</v>
      </c>
      <c r="N62" s="10">
        <f t="shared" si="7"/>
        <v>320</v>
      </c>
      <c r="O62" s="2">
        <v>2017</v>
      </c>
    </row>
    <row r="63" spans="1:15" ht="18.75">
      <c r="A63" s="18" t="s">
        <v>152</v>
      </c>
      <c r="B63" s="9" t="s">
        <v>215</v>
      </c>
      <c r="C63" s="2" t="s">
        <v>2161</v>
      </c>
      <c r="D63" s="2">
        <v>1</v>
      </c>
      <c r="E63" s="2" t="s">
        <v>216</v>
      </c>
      <c r="F63" s="1">
        <f t="shared" si="6"/>
        <v>0.5</v>
      </c>
      <c r="G63" s="2" t="s">
        <v>21</v>
      </c>
      <c r="H63" s="14"/>
      <c r="I63" s="2"/>
      <c r="J63" s="2"/>
      <c r="K63" s="2"/>
      <c r="L63" s="2"/>
      <c r="M63" s="10">
        <v>200</v>
      </c>
      <c r="N63" s="10">
        <f t="shared" si="7"/>
        <v>100</v>
      </c>
      <c r="O63" s="2"/>
    </row>
    <row r="64" spans="1:15" ht="18.75">
      <c r="A64" s="18" t="s">
        <v>152</v>
      </c>
      <c r="B64" s="9" t="s">
        <v>217</v>
      </c>
      <c r="C64" s="2" t="s">
        <v>2161</v>
      </c>
      <c r="D64" s="2">
        <v>5</v>
      </c>
      <c r="E64" s="2" t="s">
        <v>218</v>
      </c>
      <c r="F64" s="1">
        <f t="shared" si="6"/>
        <v>0.75</v>
      </c>
      <c r="G64" s="2" t="s">
        <v>17</v>
      </c>
      <c r="H64" s="2"/>
      <c r="I64" s="2"/>
      <c r="J64" s="2"/>
      <c r="K64" s="2"/>
      <c r="L64" s="2"/>
      <c r="M64" s="10">
        <f>300*4</f>
        <v>1200</v>
      </c>
      <c r="N64" s="10">
        <f t="shared" si="7"/>
        <v>900</v>
      </c>
      <c r="O64" s="2"/>
    </row>
    <row r="65" spans="1:15" ht="18.75">
      <c r="A65" s="18" t="s">
        <v>152</v>
      </c>
      <c r="B65" s="9" t="s">
        <v>219</v>
      </c>
      <c r="C65" s="2" t="s">
        <v>2161</v>
      </c>
      <c r="D65" s="2">
        <v>4</v>
      </c>
      <c r="E65" s="2" t="s">
        <v>2237</v>
      </c>
      <c r="F65" s="1">
        <f t="shared" si="6"/>
        <v>0.75</v>
      </c>
      <c r="G65" s="2" t="s">
        <v>17</v>
      </c>
      <c r="H65" s="2"/>
      <c r="I65" s="2"/>
      <c r="J65" s="2"/>
      <c r="K65" s="2"/>
      <c r="L65" s="2"/>
      <c r="M65" s="10">
        <v>299</v>
      </c>
      <c r="N65" s="10">
        <f t="shared" si="7"/>
        <v>224.25</v>
      </c>
      <c r="O65" s="2"/>
    </row>
    <row r="66" spans="1:15" s="23" customFormat="1" ht="18.75">
      <c r="A66" s="20" t="s">
        <v>152</v>
      </c>
      <c r="B66" s="9" t="s">
        <v>265</v>
      </c>
      <c r="C66" s="21" t="s">
        <v>2161</v>
      </c>
      <c r="D66" s="21">
        <v>1</v>
      </c>
      <c r="E66" s="21" t="s">
        <v>266</v>
      </c>
      <c r="F66" s="1">
        <f t="shared" si="6"/>
        <v>0.75</v>
      </c>
      <c r="G66" s="21" t="s">
        <v>17</v>
      </c>
      <c r="H66" s="21"/>
      <c r="I66" s="21"/>
      <c r="J66" s="21"/>
      <c r="K66" s="21"/>
      <c r="L66" s="21"/>
      <c r="M66" s="22">
        <v>200</v>
      </c>
      <c r="N66" s="22">
        <f t="shared" si="7"/>
        <v>150</v>
      </c>
      <c r="O66" s="21"/>
    </row>
    <row r="67" spans="1:15" ht="18" customHeight="1">
      <c r="A67" s="18" t="s">
        <v>152</v>
      </c>
      <c r="B67" s="9" t="s">
        <v>220</v>
      </c>
      <c r="C67" s="2" t="s">
        <v>2161</v>
      </c>
      <c r="D67" s="2">
        <v>1</v>
      </c>
      <c r="E67" s="2" t="s">
        <v>221</v>
      </c>
      <c r="F67" s="1">
        <f t="shared" si="6"/>
        <v>0.5</v>
      </c>
      <c r="G67" s="2" t="s">
        <v>21</v>
      </c>
      <c r="H67" s="2"/>
      <c r="I67" s="2"/>
      <c r="J67" s="2"/>
      <c r="K67" s="2"/>
      <c r="L67" s="2"/>
      <c r="M67" s="10">
        <f>70*2</f>
        <v>140</v>
      </c>
      <c r="N67" s="10">
        <f t="shared" si="7"/>
        <v>70</v>
      </c>
      <c r="O67" s="2">
        <v>2012</v>
      </c>
    </row>
    <row r="68" spans="1:15" ht="18" customHeight="1">
      <c r="A68" s="18" t="s">
        <v>152</v>
      </c>
      <c r="B68" s="9" t="s">
        <v>222</v>
      </c>
      <c r="C68" s="2" t="s">
        <v>2057</v>
      </c>
      <c r="D68" s="2">
        <v>2</v>
      </c>
      <c r="E68" s="2" t="s">
        <v>2238</v>
      </c>
      <c r="F68" s="1">
        <f t="shared" si="6"/>
        <v>0.75</v>
      </c>
      <c r="G68" s="2" t="s">
        <v>17</v>
      </c>
      <c r="H68" s="2" t="s">
        <v>2223</v>
      </c>
      <c r="I68" s="2"/>
      <c r="J68" s="2"/>
      <c r="K68" s="2"/>
      <c r="L68" s="2"/>
      <c r="M68" s="10">
        <v>140</v>
      </c>
      <c r="N68" s="10">
        <f t="shared" si="7"/>
        <v>105</v>
      </c>
      <c r="O68" s="2"/>
    </row>
    <row r="69" spans="1:15" ht="18.75">
      <c r="A69" s="18" t="s">
        <v>152</v>
      </c>
      <c r="B69" s="9" t="s">
        <v>223</v>
      </c>
      <c r="C69" s="2" t="s">
        <v>2161</v>
      </c>
      <c r="D69" s="2">
        <v>1</v>
      </c>
      <c r="E69" s="2" t="s">
        <v>224</v>
      </c>
      <c r="F69" s="1">
        <f t="shared" si="6"/>
        <v>0</v>
      </c>
      <c r="G69" s="2"/>
      <c r="H69" s="2"/>
      <c r="I69" s="2"/>
      <c r="J69" s="2"/>
      <c r="K69" s="2"/>
      <c r="L69" s="2"/>
      <c r="M69" s="10"/>
      <c r="N69" s="10">
        <f t="shared" si="7"/>
        <v>0</v>
      </c>
      <c r="O69" s="2"/>
    </row>
    <row r="70" spans="1:15" ht="18.75">
      <c r="A70" s="18" t="s">
        <v>152</v>
      </c>
      <c r="B70" s="9" t="s">
        <v>225</v>
      </c>
      <c r="C70" s="2" t="s">
        <v>2161</v>
      </c>
      <c r="D70" s="2">
        <v>3</v>
      </c>
      <c r="E70" s="2" t="s">
        <v>2239</v>
      </c>
      <c r="F70" s="1">
        <f t="shared" si="6"/>
        <v>0.5</v>
      </c>
      <c r="G70" s="2" t="s">
        <v>21</v>
      </c>
      <c r="H70" s="2"/>
      <c r="I70" s="2"/>
      <c r="J70" s="2"/>
      <c r="K70" s="2"/>
      <c r="L70" s="2"/>
      <c r="M70" s="10">
        <f>26*3</f>
        <v>78</v>
      </c>
      <c r="N70" s="10">
        <f t="shared" si="7"/>
        <v>39</v>
      </c>
      <c r="O70" s="2"/>
    </row>
    <row r="71" spans="1:15" ht="18.75">
      <c r="A71" s="18" t="s">
        <v>152</v>
      </c>
      <c r="B71" s="9" t="s">
        <v>226</v>
      </c>
      <c r="C71" s="2" t="s">
        <v>2161</v>
      </c>
      <c r="D71" s="2">
        <v>2</v>
      </c>
      <c r="E71" s="2" t="s">
        <v>2240</v>
      </c>
      <c r="F71" s="1">
        <f t="shared" si="6"/>
        <v>0.75</v>
      </c>
      <c r="G71" s="2" t="s">
        <v>17</v>
      </c>
      <c r="H71" s="2"/>
      <c r="I71" s="2"/>
      <c r="J71" s="2"/>
      <c r="K71" s="2"/>
      <c r="L71" s="2"/>
      <c r="M71" s="10">
        <v>94</v>
      </c>
      <c r="N71" s="10">
        <f t="shared" si="7"/>
        <v>70.5</v>
      </c>
      <c r="O71" s="2"/>
    </row>
    <row r="72" spans="1:15" ht="18.75">
      <c r="A72" s="18" t="s">
        <v>152</v>
      </c>
      <c r="B72" s="9" t="s">
        <v>227</v>
      </c>
      <c r="C72" s="2" t="s">
        <v>2161</v>
      </c>
      <c r="D72" s="2">
        <v>1</v>
      </c>
      <c r="E72" s="2" t="s">
        <v>228</v>
      </c>
      <c r="F72" s="1">
        <f t="shared" si="6"/>
        <v>0.75</v>
      </c>
      <c r="G72" s="2" t="s">
        <v>17</v>
      </c>
      <c r="H72" s="2"/>
      <c r="I72" s="2"/>
      <c r="J72" s="2"/>
      <c r="K72" s="2"/>
      <c r="L72" s="2"/>
      <c r="M72" s="10">
        <v>26</v>
      </c>
      <c r="N72" s="10">
        <f t="shared" si="7"/>
        <v>19.5</v>
      </c>
      <c r="O72" s="2"/>
    </row>
    <row r="73" spans="1:15" ht="18.75">
      <c r="A73" s="18" t="s">
        <v>152</v>
      </c>
      <c r="B73" s="9" t="s">
        <v>229</v>
      </c>
      <c r="C73" s="2" t="s">
        <v>2161</v>
      </c>
      <c r="D73" s="2">
        <v>1</v>
      </c>
      <c r="E73" s="2" t="s">
        <v>230</v>
      </c>
      <c r="F73" s="1">
        <f t="shared" si="6"/>
        <v>0.75</v>
      </c>
      <c r="G73" s="2" t="s">
        <v>17</v>
      </c>
      <c r="H73" s="2"/>
      <c r="I73" s="2"/>
      <c r="J73" s="2"/>
      <c r="K73" s="2"/>
      <c r="L73" s="2"/>
      <c r="M73" s="10">
        <f>50*10</f>
        <v>500</v>
      </c>
      <c r="N73" s="10">
        <f t="shared" si="7"/>
        <v>375</v>
      </c>
      <c r="O73" s="2">
        <v>2014</v>
      </c>
    </row>
    <row r="74" spans="1:15" ht="18.75">
      <c r="A74" s="18" t="s">
        <v>152</v>
      </c>
      <c r="B74" s="9" t="s">
        <v>231</v>
      </c>
      <c r="C74" s="2" t="s">
        <v>2161</v>
      </c>
      <c r="D74" s="2">
        <v>1</v>
      </c>
      <c r="E74" s="2" t="s">
        <v>232</v>
      </c>
      <c r="F74" s="1">
        <f t="shared" si="6"/>
        <v>0.25</v>
      </c>
      <c r="G74" s="2" t="s">
        <v>143</v>
      </c>
      <c r="H74" s="2"/>
      <c r="I74" s="2"/>
      <c r="J74" s="2"/>
      <c r="K74" s="2"/>
      <c r="L74" s="2"/>
      <c r="M74" s="10">
        <v>40</v>
      </c>
      <c r="N74" s="10">
        <f t="shared" si="7"/>
        <v>10</v>
      </c>
      <c r="O74" s="2"/>
    </row>
    <row r="75" spans="1:15" ht="18.75">
      <c r="A75" s="18" t="s">
        <v>152</v>
      </c>
      <c r="B75" s="9" t="s">
        <v>233</v>
      </c>
      <c r="C75" s="2" t="s">
        <v>2161</v>
      </c>
      <c r="D75" s="2">
        <v>7</v>
      </c>
      <c r="E75" s="2" t="s">
        <v>234</v>
      </c>
      <c r="F75" s="1">
        <f t="shared" si="6"/>
        <v>0.5</v>
      </c>
      <c r="G75" s="2" t="s">
        <v>21</v>
      </c>
      <c r="H75" s="2"/>
      <c r="I75" s="2"/>
      <c r="J75" s="2"/>
      <c r="K75" s="2"/>
      <c r="L75" s="2"/>
      <c r="M75" s="10">
        <f>40*5+22*2</f>
        <v>244</v>
      </c>
      <c r="N75" s="10">
        <f t="shared" si="7"/>
        <v>122</v>
      </c>
      <c r="O75" s="2"/>
    </row>
    <row r="76" spans="1:15" ht="18.75">
      <c r="A76" s="18" t="s">
        <v>152</v>
      </c>
      <c r="B76" s="9" t="s">
        <v>2160</v>
      </c>
      <c r="C76" s="2" t="s">
        <v>2161</v>
      </c>
      <c r="D76" s="2">
        <v>1</v>
      </c>
      <c r="E76" s="2" t="s">
        <v>2241</v>
      </c>
      <c r="F76" s="1">
        <f t="shared" si="6"/>
        <v>0.5</v>
      </c>
      <c r="G76" s="2" t="s">
        <v>21</v>
      </c>
      <c r="H76" s="2"/>
      <c r="I76" s="2"/>
      <c r="J76" s="2"/>
      <c r="K76" s="2"/>
      <c r="L76" s="2"/>
      <c r="M76" s="10">
        <v>15</v>
      </c>
      <c r="N76" s="10">
        <f t="shared" si="7"/>
        <v>7.5</v>
      </c>
      <c r="O76" s="2"/>
    </row>
    <row r="77" spans="1:15">
      <c r="H77" s="11"/>
      <c r="I77" s="11"/>
      <c r="J77" s="11"/>
      <c r="K77" s="11"/>
      <c r="L77" s="11"/>
      <c r="M77" s="24"/>
      <c r="N77" s="24"/>
      <c r="O77" s="11"/>
    </row>
    <row r="78" spans="1:15" ht="18" customHeight="1">
      <c r="A78" s="25" t="s">
        <v>322</v>
      </c>
      <c r="B78" s="9" t="s">
        <v>323</v>
      </c>
      <c r="C78" s="13" t="s">
        <v>2058</v>
      </c>
      <c r="D78" s="2">
        <v>4</v>
      </c>
      <c r="E78" s="14" t="s">
        <v>324</v>
      </c>
      <c r="F78" s="1">
        <f t="shared" ref="F78:F109" si="8">IF(G78="fair",0.5,0)+IF(G78="good",0.75,0)+IF(G78="poor",0.25,0)+IF(G78="like new",0.9,0)+IF(G78="new",1,0)</f>
        <v>0.5</v>
      </c>
      <c r="G78" s="2" t="s">
        <v>29</v>
      </c>
      <c r="H78" s="2"/>
      <c r="I78" s="2"/>
      <c r="J78" s="2"/>
      <c r="K78" s="2" t="s">
        <v>325</v>
      </c>
      <c r="L78" s="2"/>
      <c r="M78" s="10">
        <f>119*4</f>
        <v>476</v>
      </c>
      <c r="N78" s="10">
        <f t="shared" ref="N78:N109" si="9">F78*M78</f>
        <v>238</v>
      </c>
      <c r="O78" s="2">
        <v>2017</v>
      </c>
    </row>
    <row r="79" spans="1:15" ht="18" customHeight="1">
      <c r="A79" s="25" t="s">
        <v>322</v>
      </c>
      <c r="B79" s="9" t="s">
        <v>326</v>
      </c>
      <c r="C79" s="13" t="s">
        <v>2058</v>
      </c>
      <c r="D79" s="2">
        <v>1</v>
      </c>
      <c r="E79" s="14" t="s">
        <v>327</v>
      </c>
      <c r="F79" s="1">
        <f t="shared" si="8"/>
        <v>0.5</v>
      </c>
      <c r="G79" s="2" t="s">
        <v>29</v>
      </c>
      <c r="H79" s="2" t="s">
        <v>328</v>
      </c>
      <c r="I79" s="2"/>
      <c r="J79" s="2"/>
      <c r="K79" s="2">
        <v>3</v>
      </c>
      <c r="L79" s="2">
        <v>5</v>
      </c>
      <c r="M79" s="10">
        <v>3955</v>
      </c>
      <c r="N79" s="10">
        <f t="shared" si="9"/>
        <v>1977.5</v>
      </c>
      <c r="O79" s="2">
        <v>2003</v>
      </c>
    </row>
    <row r="80" spans="1:15" ht="18" customHeight="1">
      <c r="A80" s="25" t="s">
        <v>322</v>
      </c>
      <c r="B80" s="9" t="s">
        <v>326</v>
      </c>
      <c r="C80" s="13" t="s">
        <v>2058</v>
      </c>
      <c r="D80" s="2">
        <v>1</v>
      </c>
      <c r="E80" s="14" t="s">
        <v>329</v>
      </c>
      <c r="F80" s="1">
        <f t="shared" si="8"/>
        <v>0.5</v>
      </c>
      <c r="G80" s="2" t="s">
        <v>29</v>
      </c>
      <c r="H80" s="2" t="s">
        <v>328</v>
      </c>
      <c r="I80" s="2"/>
      <c r="J80" s="2"/>
      <c r="K80" s="2">
        <v>3</v>
      </c>
      <c r="L80" s="2">
        <v>5</v>
      </c>
      <c r="M80" s="10">
        <v>3955</v>
      </c>
      <c r="N80" s="10">
        <f t="shared" si="9"/>
        <v>1977.5</v>
      </c>
      <c r="O80" s="2">
        <v>1990</v>
      </c>
    </row>
    <row r="81" spans="1:15" ht="18" customHeight="1">
      <c r="A81" s="25" t="s">
        <v>322</v>
      </c>
      <c r="B81" s="9" t="s">
        <v>330</v>
      </c>
      <c r="C81" s="13" t="s">
        <v>2058</v>
      </c>
      <c r="D81" s="2">
        <v>1</v>
      </c>
      <c r="E81" s="14" t="s">
        <v>331</v>
      </c>
      <c r="F81" s="1">
        <f t="shared" si="8"/>
        <v>0.5</v>
      </c>
      <c r="G81" s="2" t="s">
        <v>29</v>
      </c>
      <c r="H81" s="2" t="s">
        <v>332</v>
      </c>
      <c r="I81" s="2"/>
      <c r="J81" s="2"/>
      <c r="K81" s="2">
        <v>3</v>
      </c>
      <c r="L81" s="2">
        <v>4</v>
      </c>
      <c r="M81" s="10">
        <v>519</v>
      </c>
      <c r="N81" s="10">
        <f t="shared" si="9"/>
        <v>259.5</v>
      </c>
      <c r="O81" s="2"/>
    </row>
    <row r="82" spans="1:15" ht="18" customHeight="1">
      <c r="A82" s="25" t="s">
        <v>322</v>
      </c>
      <c r="B82" s="9" t="s">
        <v>333</v>
      </c>
      <c r="C82" s="13" t="s">
        <v>2058</v>
      </c>
      <c r="D82" s="2">
        <v>1</v>
      </c>
      <c r="E82" s="14" t="s">
        <v>334</v>
      </c>
      <c r="F82" s="1">
        <f t="shared" si="8"/>
        <v>0.75</v>
      </c>
      <c r="G82" s="2" t="s">
        <v>16</v>
      </c>
      <c r="H82" s="2" t="s">
        <v>335</v>
      </c>
      <c r="I82" s="2"/>
      <c r="J82" s="2"/>
      <c r="K82" s="2"/>
      <c r="L82" s="2"/>
      <c r="M82" s="10">
        <v>47</v>
      </c>
      <c r="N82" s="10">
        <f t="shared" si="9"/>
        <v>35.25</v>
      </c>
      <c r="O82" s="2">
        <v>2019</v>
      </c>
    </row>
    <row r="83" spans="1:15" ht="18" customHeight="1">
      <c r="A83" s="25" t="s">
        <v>322</v>
      </c>
      <c r="B83" s="9" t="s">
        <v>336</v>
      </c>
      <c r="C83" s="13" t="s">
        <v>2058</v>
      </c>
      <c r="D83" s="2">
        <v>2</v>
      </c>
      <c r="E83" s="14" t="s">
        <v>2243</v>
      </c>
      <c r="F83" s="1">
        <f t="shared" si="8"/>
        <v>0.5</v>
      </c>
      <c r="G83" s="2" t="s">
        <v>29</v>
      </c>
      <c r="H83" s="2" t="s">
        <v>337</v>
      </c>
      <c r="I83" s="2"/>
      <c r="J83" s="2"/>
      <c r="K83" s="2"/>
      <c r="L83" s="2"/>
      <c r="M83" s="10">
        <v>300</v>
      </c>
      <c r="N83" s="10">
        <f t="shared" si="9"/>
        <v>150</v>
      </c>
      <c r="O83" s="2">
        <v>2014</v>
      </c>
    </row>
    <row r="84" spans="1:15" ht="18" customHeight="1">
      <c r="A84" s="25" t="s">
        <v>322</v>
      </c>
      <c r="B84" s="9" t="s">
        <v>338</v>
      </c>
      <c r="C84" s="13" t="s">
        <v>2058</v>
      </c>
      <c r="D84" s="2">
        <v>17</v>
      </c>
      <c r="E84" s="14" t="s">
        <v>2242</v>
      </c>
      <c r="F84" s="1">
        <f t="shared" si="8"/>
        <v>0.5</v>
      </c>
      <c r="G84" s="2" t="s">
        <v>29</v>
      </c>
      <c r="H84" s="2" t="s">
        <v>339</v>
      </c>
      <c r="I84" s="2"/>
      <c r="J84" s="2"/>
      <c r="K84" s="2"/>
      <c r="L84" s="2"/>
      <c r="M84" s="10">
        <f>55*17</f>
        <v>935</v>
      </c>
      <c r="N84" s="10">
        <f t="shared" si="9"/>
        <v>467.5</v>
      </c>
      <c r="O84" s="2"/>
    </row>
    <row r="85" spans="1:15" ht="18" customHeight="1">
      <c r="A85" s="25" t="s">
        <v>322</v>
      </c>
      <c r="B85" s="9" t="s">
        <v>340</v>
      </c>
      <c r="C85" s="13" t="s">
        <v>2058</v>
      </c>
      <c r="D85" s="2">
        <v>1</v>
      </c>
      <c r="E85" s="14" t="s">
        <v>341</v>
      </c>
      <c r="F85" s="1">
        <f t="shared" si="8"/>
        <v>0.5</v>
      </c>
      <c r="G85" s="2" t="s">
        <v>29</v>
      </c>
      <c r="H85" s="2"/>
      <c r="I85" s="2"/>
      <c r="J85" s="2"/>
      <c r="K85" s="2"/>
      <c r="L85" s="2"/>
      <c r="M85" s="10">
        <v>40</v>
      </c>
      <c r="N85" s="10">
        <f t="shared" si="9"/>
        <v>20</v>
      </c>
      <c r="O85" s="2"/>
    </row>
    <row r="86" spans="1:15" ht="18" customHeight="1">
      <c r="A86" s="25" t="s">
        <v>322</v>
      </c>
      <c r="B86" s="9" t="s">
        <v>342</v>
      </c>
      <c r="C86" s="13" t="s">
        <v>2058</v>
      </c>
      <c r="D86" s="2">
        <v>1</v>
      </c>
      <c r="E86" s="14" t="s">
        <v>343</v>
      </c>
      <c r="F86" s="1">
        <f t="shared" si="8"/>
        <v>0.5</v>
      </c>
      <c r="G86" s="2" t="s">
        <v>29</v>
      </c>
      <c r="H86" s="2" t="s">
        <v>344</v>
      </c>
      <c r="I86" s="7" t="s">
        <v>345</v>
      </c>
      <c r="J86" s="2" t="s">
        <v>346</v>
      </c>
      <c r="K86" s="2"/>
      <c r="L86" s="2"/>
      <c r="M86" s="10">
        <v>7800</v>
      </c>
      <c r="N86" s="10">
        <f t="shared" si="9"/>
        <v>3900</v>
      </c>
      <c r="O86" s="2">
        <v>2013</v>
      </c>
    </row>
    <row r="87" spans="1:15" ht="18" customHeight="1">
      <c r="A87" s="25" t="s">
        <v>322</v>
      </c>
      <c r="B87" s="9" t="s">
        <v>347</v>
      </c>
      <c r="C87" s="13" t="s">
        <v>2058</v>
      </c>
      <c r="D87" s="2">
        <v>93</v>
      </c>
      <c r="E87" s="14" t="s">
        <v>2244</v>
      </c>
      <c r="F87" s="1">
        <f t="shared" si="8"/>
        <v>0.5</v>
      </c>
      <c r="G87" s="2" t="s">
        <v>29</v>
      </c>
      <c r="H87" s="2"/>
      <c r="I87" s="2"/>
      <c r="J87" s="2"/>
      <c r="K87" s="2"/>
      <c r="L87" s="2"/>
      <c r="M87" s="10">
        <f>(5.5*73)+(20*4.3)</f>
        <v>487.5</v>
      </c>
      <c r="N87" s="10">
        <f t="shared" si="9"/>
        <v>243.75</v>
      </c>
      <c r="O87" s="2"/>
    </row>
    <row r="88" spans="1:15" ht="18" customHeight="1">
      <c r="A88" s="25" t="s">
        <v>322</v>
      </c>
      <c r="B88" s="9" t="s">
        <v>348</v>
      </c>
      <c r="C88" s="13" t="s">
        <v>2058</v>
      </c>
      <c r="D88" s="2">
        <v>8</v>
      </c>
      <c r="E88" s="14" t="s">
        <v>2245</v>
      </c>
      <c r="F88" s="1">
        <f t="shared" si="8"/>
        <v>0.75</v>
      </c>
      <c r="G88" s="2" t="s">
        <v>16</v>
      </c>
      <c r="H88" s="2"/>
      <c r="I88" s="2"/>
      <c r="J88" s="2"/>
      <c r="K88" s="2"/>
      <c r="L88" s="2"/>
      <c r="M88" s="10">
        <f>15*8</f>
        <v>120</v>
      </c>
      <c r="N88" s="10">
        <f t="shared" si="9"/>
        <v>90</v>
      </c>
      <c r="O88" s="2"/>
    </row>
    <row r="89" spans="1:15" ht="18" customHeight="1">
      <c r="A89" s="25" t="s">
        <v>322</v>
      </c>
      <c r="B89" s="9" t="s">
        <v>349</v>
      </c>
      <c r="C89" s="13" t="s">
        <v>2058</v>
      </c>
      <c r="D89" s="2">
        <v>9</v>
      </c>
      <c r="E89" s="14" t="s">
        <v>350</v>
      </c>
      <c r="F89" s="1">
        <f t="shared" si="8"/>
        <v>0.5</v>
      </c>
      <c r="G89" s="2" t="s">
        <v>29</v>
      </c>
      <c r="H89" s="2" t="s">
        <v>351</v>
      </c>
      <c r="I89" s="2"/>
      <c r="J89" s="2"/>
      <c r="K89" s="2"/>
      <c r="L89" s="2"/>
      <c r="M89" s="10">
        <f>40*7</f>
        <v>280</v>
      </c>
      <c r="N89" s="10">
        <f t="shared" si="9"/>
        <v>140</v>
      </c>
      <c r="O89" s="2"/>
    </row>
    <row r="90" spans="1:15" ht="18.75">
      <c r="A90" s="25" t="s">
        <v>322</v>
      </c>
      <c r="B90" s="9" t="s">
        <v>352</v>
      </c>
      <c r="C90" s="13" t="s">
        <v>2058</v>
      </c>
      <c r="D90" s="2">
        <v>1</v>
      </c>
      <c r="E90" s="14" t="s">
        <v>353</v>
      </c>
      <c r="F90" s="1">
        <f t="shared" si="8"/>
        <v>0.5</v>
      </c>
      <c r="G90" s="2" t="s">
        <v>29</v>
      </c>
      <c r="H90" s="2" t="s">
        <v>354</v>
      </c>
      <c r="I90" s="2" t="s">
        <v>355</v>
      </c>
      <c r="J90" s="2" t="s">
        <v>356</v>
      </c>
      <c r="K90" s="2">
        <v>4</v>
      </c>
      <c r="L90" s="2">
        <v>2</v>
      </c>
      <c r="M90" s="10">
        <v>2500</v>
      </c>
      <c r="N90" s="10">
        <f t="shared" si="9"/>
        <v>1250</v>
      </c>
      <c r="O90" s="2">
        <v>2014</v>
      </c>
    </row>
    <row r="91" spans="1:15" ht="32.25">
      <c r="A91" s="25" t="s">
        <v>322</v>
      </c>
      <c r="B91" s="9" t="s">
        <v>357</v>
      </c>
      <c r="C91" s="13" t="s">
        <v>2058</v>
      </c>
      <c r="D91" s="2">
        <v>2</v>
      </c>
      <c r="E91" s="14" t="s">
        <v>2246</v>
      </c>
      <c r="F91" s="1">
        <f t="shared" si="8"/>
        <v>0.5</v>
      </c>
      <c r="G91" s="2" t="s">
        <v>29</v>
      </c>
      <c r="H91" s="2" t="s">
        <v>358</v>
      </c>
      <c r="I91" s="2" t="s">
        <v>359</v>
      </c>
      <c r="J91" s="2"/>
      <c r="K91" s="2"/>
      <c r="L91" s="2"/>
      <c r="M91" s="10">
        <f>230*2</f>
        <v>460</v>
      </c>
      <c r="N91" s="10">
        <f t="shared" si="9"/>
        <v>230</v>
      </c>
      <c r="O91" s="2"/>
    </row>
    <row r="92" spans="1:15" ht="18.75">
      <c r="A92" s="25" t="s">
        <v>322</v>
      </c>
      <c r="B92" s="9" t="s">
        <v>360</v>
      </c>
      <c r="C92" s="13" t="s">
        <v>2058</v>
      </c>
      <c r="D92" s="2">
        <v>1</v>
      </c>
      <c r="E92" s="14" t="s">
        <v>361</v>
      </c>
      <c r="F92" s="1">
        <f t="shared" si="8"/>
        <v>0.75</v>
      </c>
      <c r="G92" s="2" t="s">
        <v>16</v>
      </c>
      <c r="H92" s="2" t="s">
        <v>362</v>
      </c>
      <c r="I92" s="2" t="s">
        <v>363</v>
      </c>
      <c r="J92" s="2" t="s">
        <v>364</v>
      </c>
      <c r="K92" s="2"/>
      <c r="L92" s="2"/>
      <c r="M92" s="10">
        <v>7200</v>
      </c>
      <c r="N92" s="10">
        <f t="shared" si="9"/>
        <v>5400</v>
      </c>
      <c r="O92" s="2">
        <v>2002</v>
      </c>
    </row>
    <row r="93" spans="1:15" ht="18" customHeight="1">
      <c r="A93" s="25" t="s">
        <v>322</v>
      </c>
      <c r="B93" s="9" t="s">
        <v>113</v>
      </c>
      <c r="C93" s="13" t="s">
        <v>2058</v>
      </c>
      <c r="D93" s="2">
        <v>20</v>
      </c>
      <c r="E93" s="14" t="s">
        <v>365</v>
      </c>
      <c r="F93" s="1">
        <f t="shared" si="8"/>
        <v>0.5</v>
      </c>
      <c r="G93" s="2" t="s">
        <v>29</v>
      </c>
      <c r="H93" s="2"/>
      <c r="I93" s="2"/>
      <c r="J93" s="2"/>
      <c r="K93" s="2"/>
      <c r="L93" s="2"/>
      <c r="M93" s="10">
        <f>19*20</f>
        <v>380</v>
      </c>
      <c r="N93" s="10">
        <f t="shared" si="9"/>
        <v>190</v>
      </c>
      <c r="O93" s="2"/>
    </row>
    <row r="94" spans="1:15" s="23" customFormat="1" ht="18" customHeight="1">
      <c r="A94" s="20" t="s">
        <v>322</v>
      </c>
      <c r="B94" s="9" t="s">
        <v>505</v>
      </c>
      <c r="C94" s="21" t="s">
        <v>2058</v>
      </c>
      <c r="D94" s="21">
        <v>1</v>
      </c>
      <c r="E94" s="21" t="s">
        <v>506</v>
      </c>
      <c r="F94" s="1">
        <f t="shared" si="8"/>
        <v>0.75</v>
      </c>
      <c r="G94" s="21" t="s">
        <v>16</v>
      </c>
      <c r="H94" s="21" t="s">
        <v>300</v>
      </c>
      <c r="I94" s="21" t="s">
        <v>507</v>
      </c>
      <c r="J94" s="21">
        <v>18023005981</v>
      </c>
      <c r="K94" s="21"/>
      <c r="L94" s="21"/>
      <c r="M94" s="22">
        <v>554</v>
      </c>
      <c r="N94" s="22">
        <f t="shared" si="9"/>
        <v>415.5</v>
      </c>
      <c r="O94" s="21"/>
    </row>
    <row r="95" spans="1:15" ht="18" customHeight="1">
      <c r="A95" s="25" t="s">
        <v>322</v>
      </c>
      <c r="B95" s="9" t="s">
        <v>366</v>
      </c>
      <c r="C95" s="13" t="s">
        <v>2058</v>
      </c>
      <c r="D95" s="2">
        <v>6.5</v>
      </c>
      <c r="E95" s="14" t="s">
        <v>2247</v>
      </c>
      <c r="F95" s="1">
        <f t="shared" si="8"/>
        <v>0.5</v>
      </c>
      <c r="G95" s="2" t="s">
        <v>29</v>
      </c>
      <c r="H95" s="2"/>
      <c r="I95" s="2"/>
      <c r="J95" s="2"/>
      <c r="K95" s="2"/>
      <c r="L95" s="2"/>
      <c r="M95" s="10">
        <f>282*6.5</f>
        <v>1833</v>
      </c>
      <c r="N95" s="10">
        <f t="shared" si="9"/>
        <v>916.5</v>
      </c>
      <c r="O95" s="2">
        <v>2012</v>
      </c>
    </row>
    <row r="96" spans="1:15" ht="18" customHeight="1">
      <c r="A96" s="25" t="s">
        <v>322</v>
      </c>
      <c r="B96" s="9" t="s">
        <v>367</v>
      </c>
      <c r="C96" s="13" t="s">
        <v>2058</v>
      </c>
      <c r="D96" s="2">
        <v>1</v>
      </c>
      <c r="E96" s="14" t="s">
        <v>368</v>
      </c>
      <c r="F96" s="1">
        <f t="shared" si="8"/>
        <v>0.5</v>
      </c>
      <c r="G96" s="2" t="s">
        <v>29</v>
      </c>
      <c r="H96" s="2" t="s">
        <v>328</v>
      </c>
      <c r="I96" s="2"/>
      <c r="J96" s="2"/>
      <c r="K96" s="2">
        <v>3</v>
      </c>
      <c r="L96" s="2">
        <v>5</v>
      </c>
      <c r="M96" s="10">
        <v>5700</v>
      </c>
      <c r="N96" s="10">
        <f t="shared" si="9"/>
        <v>2850</v>
      </c>
      <c r="O96" s="2"/>
    </row>
    <row r="97" spans="1:18" ht="18" customHeight="1">
      <c r="A97" s="25" t="s">
        <v>322</v>
      </c>
      <c r="B97" s="9" t="s">
        <v>369</v>
      </c>
      <c r="C97" s="13" t="s">
        <v>2058</v>
      </c>
      <c r="D97" s="2">
        <v>1</v>
      </c>
      <c r="E97" s="14" t="s">
        <v>370</v>
      </c>
      <c r="F97" s="1">
        <f t="shared" si="8"/>
        <v>0.5</v>
      </c>
      <c r="G97" s="2" t="s">
        <v>29</v>
      </c>
      <c r="H97" s="2" t="s">
        <v>371</v>
      </c>
      <c r="I97" s="2" t="s">
        <v>372</v>
      </c>
      <c r="J97" s="2">
        <v>650120837</v>
      </c>
      <c r="K97" s="2">
        <v>3</v>
      </c>
      <c r="L97" s="2">
        <v>3</v>
      </c>
      <c r="M97" s="10">
        <v>4000</v>
      </c>
      <c r="N97" s="10">
        <f t="shared" si="9"/>
        <v>2000</v>
      </c>
      <c r="O97" s="2">
        <v>2014</v>
      </c>
    </row>
    <row r="98" spans="1:18" ht="18" customHeight="1">
      <c r="A98" s="25" t="s">
        <v>322</v>
      </c>
      <c r="B98" s="9" t="s">
        <v>373</v>
      </c>
      <c r="C98" s="13" t="s">
        <v>2058</v>
      </c>
      <c r="D98" s="2">
        <v>1</v>
      </c>
      <c r="E98" s="14" t="s">
        <v>374</v>
      </c>
      <c r="F98" s="1">
        <f t="shared" si="8"/>
        <v>0.75</v>
      </c>
      <c r="G98" s="2" t="s">
        <v>16</v>
      </c>
      <c r="H98" s="2" t="s">
        <v>375</v>
      </c>
      <c r="I98" s="2" t="s">
        <v>376</v>
      </c>
      <c r="J98" s="2">
        <v>1120860175</v>
      </c>
      <c r="K98" s="2"/>
      <c r="L98" s="2"/>
      <c r="M98" s="10">
        <v>3900</v>
      </c>
      <c r="N98" s="10">
        <f t="shared" si="9"/>
        <v>2925</v>
      </c>
      <c r="O98" s="2">
        <v>2022</v>
      </c>
    </row>
    <row r="99" spans="1:18" ht="18" customHeight="1">
      <c r="A99" s="25" t="s">
        <v>322</v>
      </c>
      <c r="B99" s="9" t="s">
        <v>377</v>
      </c>
      <c r="C99" s="13" t="s">
        <v>2058</v>
      </c>
      <c r="D99" s="2">
        <v>1</v>
      </c>
      <c r="E99" s="14" t="s">
        <v>378</v>
      </c>
      <c r="F99" s="1">
        <f t="shared" si="8"/>
        <v>0.75</v>
      </c>
      <c r="G99" s="2" t="s">
        <v>16</v>
      </c>
      <c r="H99" s="2" t="s">
        <v>379</v>
      </c>
      <c r="I99" s="2" t="s">
        <v>380</v>
      </c>
      <c r="J99" s="2"/>
      <c r="K99" s="2"/>
      <c r="L99" s="2"/>
      <c r="M99" s="10">
        <v>742</v>
      </c>
      <c r="N99" s="10">
        <f t="shared" si="9"/>
        <v>556.5</v>
      </c>
      <c r="O99" s="2"/>
    </row>
    <row r="100" spans="1:18" ht="18" customHeight="1">
      <c r="A100" s="25" t="s">
        <v>322</v>
      </c>
      <c r="B100" s="9" t="s">
        <v>381</v>
      </c>
      <c r="C100" s="13" t="s">
        <v>2058</v>
      </c>
      <c r="D100" s="2">
        <v>1</v>
      </c>
      <c r="E100" s="14" t="s">
        <v>382</v>
      </c>
      <c r="F100" s="1">
        <f t="shared" si="8"/>
        <v>0.5</v>
      </c>
      <c r="G100" s="2" t="s">
        <v>29</v>
      </c>
      <c r="H100" s="2" t="s">
        <v>383</v>
      </c>
      <c r="I100" s="2" t="s">
        <v>384</v>
      </c>
      <c r="J100" s="26" t="s">
        <v>385</v>
      </c>
      <c r="K100" s="2"/>
      <c r="L100" s="2"/>
      <c r="M100" s="10">
        <v>1400</v>
      </c>
      <c r="N100" s="10">
        <f t="shared" si="9"/>
        <v>700</v>
      </c>
      <c r="O100" s="2"/>
    </row>
    <row r="101" spans="1:18" ht="18" customHeight="1">
      <c r="A101" s="25" t="s">
        <v>322</v>
      </c>
      <c r="B101" s="9" t="s">
        <v>386</v>
      </c>
      <c r="C101" s="13" t="s">
        <v>2058</v>
      </c>
      <c r="D101" s="2">
        <v>1</v>
      </c>
      <c r="E101" s="14" t="s">
        <v>387</v>
      </c>
      <c r="F101" s="1">
        <f t="shared" si="8"/>
        <v>0.5</v>
      </c>
      <c r="G101" s="2" t="s">
        <v>29</v>
      </c>
      <c r="H101" s="2" t="s">
        <v>362</v>
      </c>
      <c r="I101" s="2" t="s">
        <v>388</v>
      </c>
      <c r="J101" s="2">
        <v>1208325</v>
      </c>
      <c r="K101" s="2" t="s">
        <v>389</v>
      </c>
      <c r="L101" s="2"/>
      <c r="M101" s="10">
        <v>2500</v>
      </c>
      <c r="N101" s="10">
        <f t="shared" si="9"/>
        <v>1250</v>
      </c>
      <c r="O101" s="2">
        <v>2010</v>
      </c>
    </row>
    <row r="102" spans="1:18" ht="18.75">
      <c r="A102" s="25" t="s">
        <v>322</v>
      </c>
      <c r="B102" s="9" t="s">
        <v>390</v>
      </c>
      <c r="C102" s="13" t="s">
        <v>2058</v>
      </c>
      <c r="D102" s="2">
        <v>1</v>
      </c>
      <c r="E102" s="14" t="s">
        <v>391</v>
      </c>
      <c r="F102" s="1">
        <f t="shared" si="8"/>
        <v>0.5</v>
      </c>
      <c r="G102" s="2" t="s">
        <v>29</v>
      </c>
      <c r="H102" s="2" t="s">
        <v>362</v>
      </c>
      <c r="I102" s="2" t="s">
        <v>392</v>
      </c>
      <c r="J102" s="2">
        <v>14067180</v>
      </c>
      <c r="K102" s="2"/>
      <c r="L102" s="2"/>
      <c r="M102" s="10">
        <v>2680</v>
      </c>
      <c r="N102" s="10">
        <f t="shared" si="9"/>
        <v>1340</v>
      </c>
      <c r="O102" s="2">
        <v>2010</v>
      </c>
    </row>
    <row r="103" spans="1:18" ht="18.75">
      <c r="A103" s="25" t="s">
        <v>322</v>
      </c>
      <c r="B103" s="9" t="s">
        <v>393</v>
      </c>
      <c r="C103" s="13" t="s">
        <v>2058</v>
      </c>
      <c r="D103" s="2">
        <v>1</v>
      </c>
      <c r="E103" s="14" t="s">
        <v>394</v>
      </c>
      <c r="F103" s="1">
        <f t="shared" si="8"/>
        <v>0.5</v>
      </c>
      <c r="G103" s="2" t="s">
        <v>29</v>
      </c>
      <c r="H103" s="2" t="s">
        <v>395</v>
      </c>
      <c r="I103" s="2" t="s">
        <v>396</v>
      </c>
      <c r="J103" s="2"/>
      <c r="K103" s="2"/>
      <c r="L103" s="2"/>
      <c r="M103" s="10">
        <v>7000</v>
      </c>
      <c r="N103" s="10">
        <f t="shared" si="9"/>
        <v>3500</v>
      </c>
      <c r="O103" s="2">
        <v>2010</v>
      </c>
    </row>
    <row r="104" spans="1:18" ht="18.75">
      <c r="A104" s="25" t="s">
        <v>322</v>
      </c>
      <c r="B104" s="9" t="s">
        <v>397</v>
      </c>
      <c r="C104" s="13" t="s">
        <v>2058</v>
      </c>
      <c r="D104" s="2">
        <v>8</v>
      </c>
      <c r="E104" s="14" t="s">
        <v>398</v>
      </c>
      <c r="F104" s="1">
        <f t="shared" si="8"/>
        <v>0.5</v>
      </c>
      <c r="G104" s="2" t="s">
        <v>29</v>
      </c>
      <c r="H104" s="2"/>
      <c r="I104" s="2"/>
      <c r="J104" s="2"/>
      <c r="K104" s="2"/>
      <c r="L104" s="2"/>
      <c r="M104" s="10">
        <f>(70*8)+(18*2)</f>
        <v>596</v>
      </c>
      <c r="N104" s="10">
        <f t="shared" si="9"/>
        <v>298</v>
      </c>
      <c r="O104" s="2"/>
    </row>
    <row r="105" spans="1:18" ht="18.75">
      <c r="A105" s="25" t="s">
        <v>322</v>
      </c>
      <c r="B105" s="9" t="s">
        <v>66</v>
      </c>
      <c r="C105" s="13" t="s">
        <v>2059</v>
      </c>
      <c r="D105" s="2">
        <v>1</v>
      </c>
      <c r="E105" s="14" t="s">
        <v>399</v>
      </c>
      <c r="F105" s="1">
        <f t="shared" si="8"/>
        <v>0.5</v>
      </c>
      <c r="G105" s="2" t="s">
        <v>29</v>
      </c>
      <c r="H105" s="2" t="s">
        <v>400</v>
      </c>
      <c r="I105" s="2" t="s">
        <v>401</v>
      </c>
      <c r="J105" s="2" t="s">
        <v>402</v>
      </c>
      <c r="K105" s="2"/>
      <c r="L105" s="2"/>
      <c r="M105" s="10">
        <v>150</v>
      </c>
      <c r="N105" s="10">
        <f t="shared" si="9"/>
        <v>75</v>
      </c>
      <c r="O105" s="2"/>
    </row>
    <row r="106" spans="1:18" ht="18.75">
      <c r="A106" s="25" t="s">
        <v>322</v>
      </c>
      <c r="B106" s="9" t="s">
        <v>403</v>
      </c>
      <c r="C106" s="13" t="s">
        <v>2058</v>
      </c>
      <c r="D106" s="2">
        <v>1</v>
      </c>
      <c r="E106" s="14" t="s">
        <v>404</v>
      </c>
      <c r="F106" s="1">
        <f t="shared" si="8"/>
        <v>0.75</v>
      </c>
      <c r="G106" s="2" t="s">
        <v>16</v>
      </c>
      <c r="H106" s="2" t="s">
        <v>405</v>
      </c>
      <c r="I106" s="2" t="s">
        <v>406</v>
      </c>
      <c r="J106" s="2" t="s">
        <v>407</v>
      </c>
      <c r="K106" s="2"/>
      <c r="L106" s="2"/>
      <c r="M106" s="10">
        <v>5000</v>
      </c>
      <c r="N106" s="10">
        <f t="shared" si="9"/>
        <v>3750</v>
      </c>
      <c r="O106" s="2"/>
    </row>
    <row r="107" spans="1:18" ht="18.75">
      <c r="A107" s="25" t="s">
        <v>322</v>
      </c>
      <c r="B107" s="9" t="s">
        <v>408</v>
      </c>
      <c r="C107" s="13" t="s">
        <v>2058</v>
      </c>
      <c r="D107" s="2">
        <v>3</v>
      </c>
      <c r="E107" s="14" t="s">
        <v>2248</v>
      </c>
      <c r="F107" s="1">
        <f t="shared" si="8"/>
        <v>0.5</v>
      </c>
      <c r="G107" s="2" t="s">
        <v>29</v>
      </c>
      <c r="H107" s="2"/>
      <c r="I107" s="2"/>
      <c r="J107" s="2"/>
      <c r="K107" s="2"/>
      <c r="L107" s="2"/>
      <c r="M107" s="10">
        <f>120*3</f>
        <v>360</v>
      </c>
      <c r="N107" s="10">
        <f t="shared" si="9"/>
        <v>180</v>
      </c>
      <c r="O107" s="2">
        <v>2012</v>
      </c>
    </row>
    <row r="108" spans="1:18" ht="18.75">
      <c r="A108" s="25" t="s">
        <v>322</v>
      </c>
      <c r="B108" s="9" t="s">
        <v>409</v>
      </c>
      <c r="C108" s="13" t="s">
        <v>2058</v>
      </c>
      <c r="D108" s="2">
        <v>5</v>
      </c>
      <c r="E108" s="14" t="s">
        <v>2249</v>
      </c>
      <c r="F108" s="1">
        <f t="shared" si="8"/>
        <v>0.5</v>
      </c>
      <c r="G108" s="2" t="s">
        <v>29</v>
      </c>
      <c r="H108" s="2"/>
      <c r="I108" s="2"/>
      <c r="J108" s="2"/>
      <c r="K108" s="2"/>
      <c r="L108" s="2"/>
      <c r="M108" s="10">
        <f>65*5</f>
        <v>325</v>
      </c>
      <c r="N108" s="10">
        <f t="shared" si="9"/>
        <v>162.5</v>
      </c>
      <c r="O108" s="2"/>
    </row>
    <row r="109" spans="1:18" ht="18.75">
      <c r="A109" s="25" t="s">
        <v>322</v>
      </c>
      <c r="B109" s="9" t="s">
        <v>410</v>
      </c>
      <c r="C109" s="13" t="s">
        <v>2058</v>
      </c>
      <c r="D109" s="2">
        <v>25</v>
      </c>
      <c r="E109" s="14" t="s">
        <v>411</v>
      </c>
      <c r="F109" s="1">
        <f t="shared" si="8"/>
        <v>0.5</v>
      </c>
      <c r="G109" s="2" t="s">
        <v>29</v>
      </c>
      <c r="H109" s="2"/>
      <c r="I109" s="2"/>
      <c r="J109" s="2"/>
      <c r="K109" s="2"/>
      <c r="L109" s="2"/>
      <c r="M109" s="10">
        <f>0.42*40</f>
        <v>16.8</v>
      </c>
      <c r="N109" s="10">
        <f t="shared" si="9"/>
        <v>8.4</v>
      </c>
      <c r="O109" s="2"/>
    </row>
    <row r="110" spans="1:18" ht="18.75">
      <c r="A110" s="25" t="s">
        <v>322</v>
      </c>
      <c r="B110" s="9" t="s">
        <v>2157</v>
      </c>
      <c r="C110" s="13" t="s">
        <v>2058</v>
      </c>
      <c r="D110" s="2">
        <v>1</v>
      </c>
      <c r="E110" s="14" t="s">
        <v>2158</v>
      </c>
      <c r="F110" s="1">
        <f t="shared" ref="F110:F141" si="10">IF(G110="fair",0.5,0)+IF(G110="good",0.75,0)+IF(G110="poor",0.25,0)+IF(G110="like new",0.9,0)+IF(G110="new",1,0)</f>
        <v>0.25</v>
      </c>
      <c r="G110" s="2" t="s">
        <v>46</v>
      </c>
      <c r="H110" s="2" t="s">
        <v>2159</v>
      </c>
      <c r="I110" s="15"/>
      <c r="J110" s="15"/>
      <c r="K110" s="2"/>
      <c r="L110" s="2"/>
      <c r="M110" s="10">
        <v>79.98</v>
      </c>
      <c r="N110" s="10">
        <f>M110*F110</f>
        <v>19.995000000000001</v>
      </c>
      <c r="O110" s="2">
        <v>2012</v>
      </c>
      <c r="Q110" s="11"/>
      <c r="R110" s="11"/>
    </row>
    <row r="111" spans="1:18" ht="18.75">
      <c r="A111" s="25" t="s">
        <v>322</v>
      </c>
      <c r="B111" s="9" t="s">
        <v>412</v>
      </c>
      <c r="C111" s="13" t="s">
        <v>2058</v>
      </c>
      <c r="D111" s="2">
        <v>1</v>
      </c>
      <c r="E111" s="14" t="s">
        <v>2250</v>
      </c>
      <c r="F111" s="1">
        <f t="shared" si="10"/>
        <v>0.5</v>
      </c>
      <c r="G111" s="2" t="s">
        <v>29</v>
      </c>
      <c r="H111" s="2" t="s">
        <v>413</v>
      </c>
      <c r="I111" s="2" t="s">
        <v>414</v>
      </c>
      <c r="J111" s="2" t="s">
        <v>415</v>
      </c>
      <c r="K111" s="2"/>
      <c r="L111" s="2"/>
      <c r="M111" s="10">
        <v>143</v>
      </c>
      <c r="N111" s="10">
        <f t="shared" ref="N111:N133" si="11">F111*M111</f>
        <v>71.5</v>
      </c>
      <c r="O111" s="2">
        <v>2016</v>
      </c>
    </row>
    <row r="112" spans="1:18" ht="18.75">
      <c r="A112" s="25" t="s">
        <v>322</v>
      </c>
      <c r="B112" s="9" t="s">
        <v>416</v>
      </c>
      <c r="C112" s="13" t="s">
        <v>2058</v>
      </c>
      <c r="D112" s="2">
        <v>14</v>
      </c>
      <c r="E112" s="14" t="s">
        <v>2251</v>
      </c>
      <c r="F112" s="1">
        <f t="shared" si="10"/>
        <v>0.5</v>
      </c>
      <c r="G112" s="2" t="s">
        <v>29</v>
      </c>
      <c r="H112" s="2" t="s">
        <v>413</v>
      </c>
      <c r="I112" s="2"/>
      <c r="J112" s="2"/>
      <c r="K112" s="2"/>
      <c r="L112" s="2"/>
      <c r="M112" s="10">
        <f>14*30</f>
        <v>420</v>
      </c>
      <c r="N112" s="10">
        <f t="shared" si="11"/>
        <v>210</v>
      </c>
      <c r="O112" s="2">
        <v>2016</v>
      </c>
    </row>
    <row r="113" spans="1:15" ht="18.75">
      <c r="A113" s="25" t="s">
        <v>322</v>
      </c>
      <c r="B113" s="9" t="s">
        <v>417</v>
      </c>
      <c r="C113" s="13" t="s">
        <v>2058</v>
      </c>
      <c r="D113" s="2">
        <v>1</v>
      </c>
      <c r="E113" s="14" t="s">
        <v>418</v>
      </c>
      <c r="F113" s="1">
        <f t="shared" si="10"/>
        <v>0.75</v>
      </c>
      <c r="G113" s="2" t="s">
        <v>16</v>
      </c>
      <c r="H113" s="2"/>
      <c r="I113" s="2"/>
      <c r="J113" s="2"/>
      <c r="K113" s="2" t="s">
        <v>419</v>
      </c>
      <c r="L113" s="2"/>
      <c r="M113" s="10">
        <v>650</v>
      </c>
      <c r="N113" s="10">
        <f t="shared" si="11"/>
        <v>487.5</v>
      </c>
      <c r="O113" s="2"/>
    </row>
    <row r="114" spans="1:15" ht="18.75">
      <c r="A114" s="25" t="s">
        <v>322</v>
      </c>
      <c r="B114" s="9" t="s">
        <v>420</v>
      </c>
      <c r="C114" s="13" t="s">
        <v>2058</v>
      </c>
      <c r="D114" s="2">
        <v>1</v>
      </c>
      <c r="E114" s="14" t="s">
        <v>421</v>
      </c>
      <c r="F114" s="1">
        <f t="shared" si="10"/>
        <v>0.75</v>
      </c>
      <c r="G114" s="2" t="s">
        <v>16</v>
      </c>
      <c r="H114" s="2"/>
      <c r="I114" s="2"/>
      <c r="J114" s="2"/>
      <c r="K114" s="2">
        <v>4</v>
      </c>
      <c r="L114" s="2">
        <v>2</v>
      </c>
      <c r="M114" s="10">
        <v>240</v>
      </c>
      <c r="N114" s="10">
        <f t="shared" si="11"/>
        <v>180</v>
      </c>
      <c r="O114" s="2"/>
    </row>
    <row r="115" spans="1:15" ht="18.75">
      <c r="A115" s="25" t="s">
        <v>322</v>
      </c>
      <c r="B115" s="9" t="s">
        <v>422</v>
      </c>
      <c r="C115" s="13" t="s">
        <v>2058</v>
      </c>
      <c r="D115" s="2">
        <v>8</v>
      </c>
      <c r="E115" s="14" t="s">
        <v>423</v>
      </c>
      <c r="F115" s="1">
        <f t="shared" si="10"/>
        <v>0.75</v>
      </c>
      <c r="G115" s="2" t="s">
        <v>16</v>
      </c>
      <c r="H115" s="2"/>
      <c r="I115" s="2"/>
      <c r="J115" s="2"/>
      <c r="K115" s="2"/>
      <c r="L115" s="2"/>
      <c r="M115" s="10">
        <f>(185.76*6)+(2*224.32)</f>
        <v>1563.1999999999998</v>
      </c>
      <c r="N115" s="10">
        <f t="shared" si="11"/>
        <v>1172.3999999999999</v>
      </c>
      <c r="O115" s="2">
        <v>2012</v>
      </c>
    </row>
    <row r="116" spans="1:15" ht="18.75">
      <c r="A116" s="25" t="s">
        <v>322</v>
      </c>
      <c r="B116" s="9" t="s">
        <v>424</v>
      </c>
      <c r="C116" s="13" t="s">
        <v>2058</v>
      </c>
      <c r="D116" s="2">
        <v>1</v>
      </c>
      <c r="E116" s="14" t="s">
        <v>425</v>
      </c>
      <c r="F116" s="1">
        <f t="shared" si="10"/>
        <v>0.5</v>
      </c>
      <c r="G116" s="2" t="s">
        <v>29</v>
      </c>
      <c r="H116" s="2" t="s">
        <v>426</v>
      </c>
      <c r="I116" s="2" t="s">
        <v>427</v>
      </c>
      <c r="J116" s="2">
        <v>13100216</v>
      </c>
      <c r="K116" s="2" t="s">
        <v>428</v>
      </c>
      <c r="L116" s="2"/>
      <c r="M116" s="10">
        <v>3700</v>
      </c>
      <c r="N116" s="10">
        <f t="shared" si="11"/>
        <v>1850</v>
      </c>
      <c r="O116" s="2"/>
    </row>
    <row r="117" spans="1:15" ht="18.75">
      <c r="A117" s="25" t="s">
        <v>322</v>
      </c>
      <c r="B117" s="9" t="s">
        <v>429</v>
      </c>
      <c r="C117" s="13" t="s">
        <v>2058</v>
      </c>
      <c r="D117" s="2">
        <v>1</v>
      </c>
      <c r="E117" s="14" t="s">
        <v>2252</v>
      </c>
      <c r="F117" s="1">
        <f t="shared" si="10"/>
        <v>0.5</v>
      </c>
      <c r="G117" s="2" t="s">
        <v>29</v>
      </c>
      <c r="H117" s="2" t="s">
        <v>430</v>
      </c>
      <c r="I117" s="2" t="s">
        <v>431</v>
      </c>
      <c r="J117" s="2" t="s">
        <v>432</v>
      </c>
      <c r="K117" s="2"/>
      <c r="L117" s="2"/>
      <c r="M117" s="10">
        <v>3345</v>
      </c>
      <c r="N117" s="10">
        <f t="shared" si="11"/>
        <v>1672.5</v>
      </c>
      <c r="O117" s="2"/>
    </row>
    <row r="118" spans="1:15" ht="18.75">
      <c r="A118" s="25" t="s">
        <v>322</v>
      </c>
      <c r="B118" s="9" t="s">
        <v>429</v>
      </c>
      <c r="C118" s="13" t="s">
        <v>2058</v>
      </c>
      <c r="D118" s="2">
        <v>1</v>
      </c>
      <c r="E118" s="14" t="s">
        <v>2252</v>
      </c>
      <c r="F118" s="1">
        <f t="shared" si="10"/>
        <v>0.5</v>
      </c>
      <c r="G118" s="2" t="s">
        <v>29</v>
      </c>
      <c r="H118" s="2" t="s">
        <v>433</v>
      </c>
      <c r="I118" s="2" t="s">
        <v>431</v>
      </c>
      <c r="J118" s="2"/>
      <c r="K118" s="2"/>
      <c r="L118" s="2"/>
      <c r="M118" s="10">
        <v>3345</v>
      </c>
      <c r="N118" s="10">
        <f t="shared" si="11"/>
        <v>1672.5</v>
      </c>
      <c r="O118" s="2"/>
    </row>
    <row r="119" spans="1:15" ht="18.75">
      <c r="A119" s="25" t="s">
        <v>322</v>
      </c>
      <c r="B119" s="9" t="s">
        <v>434</v>
      </c>
      <c r="C119" s="2" t="s">
        <v>2058</v>
      </c>
      <c r="D119" s="2">
        <v>1</v>
      </c>
      <c r="E119" s="2" t="s">
        <v>2253</v>
      </c>
      <c r="F119" s="1">
        <f t="shared" si="10"/>
        <v>0.25</v>
      </c>
      <c r="G119" s="2" t="s">
        <v>46</v>
      </c>
      <c r="H119" s="2"/>
      <c r="I119" s="2"/>
      <c r="J119" s="2"/>
      <c r="K119" s="2"/>
      <c r="L119" s="2"/>
      <c r="M119" s="10">
        <v>100</v>
      </c>
      <c r="N119" s="10">
        <f t="shared" si="11"/>
        <v>25</v>
      </c>
      <c r="O119" s="2">
        <v>2012</v>
      </c>
    </row>
    <row r="120" spans="1:15" ht="18.75">
      <c r="A120" s="25" t="s">
        <v>322</v>
      </c>
      <c r="B120" s="9" t="s">
        <v>435</v>
      </c>
      <c r="C120" s="2" t="s">
        <v>2058</v>
      </c>
      <c r="D120" s="2">
        <v>1</v>
      </c>
      <c r="E120" s="2" t="s">
        <v>436</v>
      </c>
      <c r="F120" s="1">
        <f t="shared" si="10"/>
        <v>0.5</v>
      </c>
      <c r="G120" s="2" t="s">
        <v>29</v>
      </c>
      <c r="H120" s="2"/>
      <c r="I120" s="2"/>
      <c r="J120" s="2"/>
      <c r="K120" s="2"/>
      <c r="L120" s="2"/>
      <c r="M120" s="10">
        <v>400</v>
      </c>
      <c r="N120" s="10">
        <f t="shared" si="11"/>
        <v>200</v>
      </c>
      <c r="O120" s="2"/>
    </row>
    <row r="121" spans="1:15" ht="18.75">
      <c r="A121" s="25" t="s">
        <v>322</v>
      </c>
      <c r="B121" s="27" t="s">
        <v>437</v>
      </c>
      <c r="C121" s="2" t="s">
        <v>2058</v>
      </c>
      <c r="D121" s="2">
        <v>1</v>
      </c>
      <c r="E121" s="2" t="s">
        <v>438</v>
      </c>
      <c r="F121" s="1">
        <f t="shared" si="10"/>
        <v>0.5</v>
      </c>
      <c r="G121" s="28" t="s">
        <v>29</v>
      </c>
      <c r="H121" s="28" t="s">
        <v>439</v>
      </c>
      <c r="I121" s="28" t="s">
        <v>440</v>
      </c>
      <c r="J121" s="28"/>
      <c r="K121" s="28">
        <v>31</v>
      </c>
      <c r="L121" s="28">
        <v>37</v>
      </c>
      <c r="M121" s="45">
        <v>2630.08</v>
      </c>
      <c r="N121" s="10">
        <f t="shared" si="11"/>
        <v>1315.04</v>
      </c>
      <c r="O121" s="28"/>
    </row>
    <row r="122" spans="1:15" ht="18.75">
      <c r="A122" s="25" t="s">
        <v>322</v>
      </c>
      <c r="B122" s="9" t="s">
        <v>441</v>
      </c>
      <c r="C122" s="13" t="s">
        <v>2058</v>
      </c>
      <c r="D122" s="2">
        <v>1</v>
      </c>
      <c r="E122" s="14" t="s">
        <v>442</v>
      </c>
      <c r="F122" s="1">
        <f t="shared" si="10"/>
        <v>0.75</v>
      </c>
      <c r="G122" s="2" t="s">
        <v>16</v>
      </c>
      <c r="H122" s="2" t="s">
        <v>443</v>
      </c>
      <c r="I122" s="2" t="s">
        <v>444</v>
      </c>
      <c r="J122" s="2"/>
      <c r="K122" s="2"/>
      <c r="L122" s="2"/>
      <c r="M122" s="10">
        <v>150</v>
      </c>
      <c r="N122" s="10">
        <f t="shared" si="11"/>
        <v>112.5</v>
      </c>
      <c r="O122" s="2">
        <v>2019</v>
      </c>
    </row>
    <row r="123" spans="1:15" ht="18.75">
      <c r="A123" s="25" t="s">
        <v>322</v>
      </c>
      <c r="B123" s="9" t="s">
        <v>445</v>
      </c>
      <c r="C123" s="13" t="s">
        <v>2058</v>
      </c>
      <c r="D123" s="2">
        <v>1</v>
      </c>
      <c r="E123" s="14" t="s">
        <v>446</v>
      </c>
      <c r="F123" s="1">
        <f t="shared" si="10"/>
        <v>0.75</v>
      </c>
      <c r="G123" s="2" t="s">
        <v>16</v>
      </c>
      <c r="H123" s="2" t="s">
        <v>447</v>
      </c>
      <c r="I123" s="2"/>
      <c r="J123" s="2"/>
      <c r="K123" s="2"/>
      <c r="L123" s="2"/>
      <c r="M123" s="45">
        <v>1337</v>
      </c>
      <c r="N123" s="10">
        <f t="shared" si="11"/>
        <v>1002.75</v>
      </c>
      <c r="O123" s="2"/>
    </row>
    <row r="124" spans="1:15" ht="18.75">
      <c r="A124" s="25" t="s">
        <v>322</v>
      </c>
      <c r="B124" s="9" t="s">
        <v>448</v>
      </c>
      <c r="C124" s="13" t="s">
        <v>2058</v>
      </c>
      <c r="D124" s="2">
        <v>1</v>
      </c>
      <c r="E124" s="14" t="s">
        <v>449</v>
      </c>
      <c r="F124" s="1">
        <f t="shared" si="10"/>
        <v>0.5</v>
      </c>
      <c r="G124" s="2" t="s">
        <v>29</v>
      </c>
      <c r="H124" s="2" t="s">
        <v>450</v>
      </c>
      <c r="I124" s="2"/>
      <c r="J124" s="2"/>
      <c r="K124" s="2"/>
      <c r="L124" s="2"/>
      <c r="M124" s="10">
        <v>650</v>
      </c>
      <c r="N124" s="10">
        <f t="shared" si="11"/>
        <v>325</v>
      </c>
      <c r="O124" s="2"/>
    </row>
    <row r="125" spans="1:15" ht="32.25">
      <c r="A125" s="25" t="s">
        <v>322</v>
      </c>
      <c r="B125" s="9" t="s">
        <v>451</v>
      </c>
      <c r="C125" s="13" t="s">
        <v>2058</v>
      </c>
      <c r="D125" s="2">
        <v>1</v>
      </c>
      <c r="E125" s="35" t="s">
        <v>452</v>
      </c>
      <c r="F125" s="1">
        <f t="shared" si="10"/>
        <v>0.5</v>
      </c>
      <c r="G125" s="2" t="s">
        <v>29</v>
      </c>
      <c r="H125" s="2" t="s">
        <v>453</v>
      </c>
      <c r="I125" s="2" t="s">
        <v>454</v>
      </c>
      <c r="J125" s="2"/>
      <c r="K125" s="2"/>
      <c r="L125" s="2"/>
      <c r="M125" s="44">
        <v>1724</v>
      </c>
      <c r="N125" s="10">
        <f t="shared" si="11"/>
        <v>862</v>
      </c>
      <c r="O125" s="2"/>
    </row>
    <row r="126" spans="1:15" ht="18.75">
      <c r="A126" s="25" t="s">
        <v>322</v>
      </c>
      <c r="B126" s="29" t="s">
        <v>455</v>
      </c>
      <c r="C126" s="2" t="s">
        <v>2058</v>
      </c>
      <c r="D126" s="2">
        <v>1</v>
      </c>
      <c r="E126" s="2" t="s">
        <v>456</v>
      </c>
      <c r="F126" s="1">
        <f t="shared" si="10"/>
        <v>0.5</v>
      </c>
      <c r="G126" s="30" t="s">
        <v>29</v>
      </c>
      <c r="H126" s="30"/>
      <c r="I126" s="30"/>
      <c r="J126" s="30"/>
      <c r="K126" s="30"/>
      <c r="L126" s="30"/>
      <c r="M126" s="31">
        <v>130.99</v>
      </c>
      <c r="N126" s="10">
        <f t="shared" si="11"/>
        <v>65.495000000000005</v>
      </c>
      <c r="O126" s="30"/>
    </row>
    <row r="127" spans="1:15" ht="18.75">
      <c r="A127" s="25" t="s">
        <v>322</v>
      </c>
      <c r="B127" s="9" t="s">
        <v>457</v>
      </c>
      <c r="C127" s="13" t="s">
        <v>2057</v>
      </c>
      <c r="D127" s="2">
        <v>1</v>
      </c>
      <c r="E127" s="14"/>
      <c r="F127" s="1">
        <f t="shared" si="10"/>
        <v>0.75</v>
      </c>
      <c r="G127" s="2" t="s">
        <v>16</v>
      </c>
      <c r="H127" s="2"/>
      <c r="I127" s="2"/>
      <c r="J127" s="2"/>
      <c r="K127" s="2"/>
      <c r="L127" s="2"/>
      <c r="M127" s="10">
        <v>258</v>
      </c>
      <c r="N127" s="10">
        <f t="shared" si="11"/>
        <v>193.5</v>
      </c>
      <c r="O127" s="2"/>
    </row>
    <row r="128" spans="1:15" ht="18.75">
      <c r="A128" s="25" t="s">
        <v>322</v>
      </c>
      <c r="B128" s="9" t="s">
        <v>458</v>
      </c>
      <c r="C128" s="13" t="s">
        <v>2161</v>
      </c>
      <c r="D128" s="2">
        <v>1</v>
      </c>
      <c r="E128" s="14"/>
      <c r="F128" s="1">
        <f t="shared" si="10"/>
        <v>0.75</v>
      </c>
      <c r="G128" s="2" t="s">
        <v>16</v>
      </c>
      <c r="H128" s="2"/>
      <c r="I128" s="2"/>
      <c r="J128" s="2"/>
      <c r="K128" s="2"/>
      <c r="L128" s="2"/>
      <c r="M128" s="10">
        <v>40</v>
      </c>
      <c r="N128" s="10">
        <f t="shared" si="11"/>
        <v>30</v>
      </c>
      <c r="O128" s="2"/>
    </row>
    <row r="129" spans="1:15" ht="18.75">
      <c r="A129" s="25" t="s">
        <v>322</v>
      </c>
      <c r="B129" s="9" t="s">
        <v>458</v>
      </c>
      <c r="C129" s="13" t="s">
        <v>2161</v>
      </c>
      <c r="D129" s="2">
        <v>1</v>
      </c>
      <c r="E129" s="14"/>
      <c r="F129" s="1">
        <f t="shared" si="10"/>
        <v>0.75</v>
      </c>
      <c r="G129" s="2" t="s">
        <v>16</v>
      </c>
      <c r="H129" s="2"/>
      <c r="I129" s="2"/>
      <c r="J129" s="2"/>
      <c r="K129" s="2"/>
      <c r="L129" s="2"/>
      <c r="M129" s="10">
        <v>40</v>
      </c>
      <c r="N129" s="10">
        <f t="shared" si="11"/>
        <v>30</v>
      </c>
      <c r="O129" s="2"/>
    </row>
    <row r="130" spans="1:15" ht="18.75">
      <c r="A130" s="25" t="s">
        <v>322</v>
      </c>
      <c r="B130" s="9" t="s">
        <v>459</v>
      </c>
      <c r="C130" s="13" t="s">
        <v>2161</v>
      </c>
      <c r="D130" s="2">
        <v>1</v>
      </c>
      <c r="E130" s="14"/>
      <c r="F130" s="1">
        <f t="shared" si="10"/>
        <v>0</v>
      </c>
      <c r="G130" s="2"/>
      <c r="H130" s="2" t="s">
        <v>337</v>
      </c>
      <c r="I130" s="2"/>
      <c r="J130" s="2"/>
      <c r="K130" s="2"/>
      <c r="L130" s="2"/>
      <c r="M130" s="10">
        <v>0</v>
      </c>
      <c r="N130" s="10">
        <f t="shared" si="11"/>
        <v>0</v>
      </c>
      <c r="O130" s="2"/>
    </row>
    <row r="131" spans="1:15" ht="18.75">
      <c r="A131" s="25" t="s">
        <v>322</v>
      </c>
      <c r="B131" s="9" t="s">
        <v>460</v>
      </c>
      <c r="C131" s="13" t="s">
        <v>2161</v>
      </c>
      <c r="D131" s="2">
        <v>1</v>
      </c>
      <c r="E131" s="14"/>
      <c r="F131" s="1">
        <f t="shared" si="10"/>
        <v>0</v>
      </c>
      <c r="G131" s="2"/>
      <c r="H131" s="2"/>
      <c r="I131" s="2"/>
      <c r="J131" s="2"/>
      <c r="K131" s="2"/>
      <c r="L131" s="2"/>
      <c r="M131" s="10">
        <v>50</v>
      </c>
      <c r="N131" s="10">
        <f t="shared" si="11"/>
        <v>0</v>
      </c>
      <c r="O131" s="2"/>
    </row>
    <row r="132" spans="1:15" ht="18.75">
      <c r="A132" s="25" t="s">
        <v>322</v>
      </c>
      <c r="B132" s="9" t="s">
        <v>132</v>
      </c>
      <c r="C132" s="13" t="s">
        <v>2161</v>
      </c>
      <c r="D132" s="2">
        <v>1</v>
      </c>
      <c r="E132" s="14"/>
      <c r="F132" s="1">
        <f t="shared" si="10"/>
        <v>0.75</v>
      </c>
      <c r="G132" s="2" t="s">
        <v>16</v>
      </c>
      <c r="H132" s="2"/>
      <c r="I132" s="2"/>
      <c r="J132" s="2"/>
      <c r="K132" s="2"/>
      <c r="L132" s="2"/>
      <c r="M132" s="10">
        <v>50</v>
      </c>
      <c r="N132" s="10">
        <f t="shared" si="11"/>
        <v>37.5</v>
      </c>
      <c r="O132" s="2"/>
    </row>
    <row r="133" spans="1:15" ht="18.75">
      <c r="A133" s="25" t="s">
        <v>322</v>
      </c>
      <c r="B133" s="9" t="s">
        <v>459</v>
      </c>
      <c r="C133" s="13" t="s">
        <v>2161</v>
      </c>
      <c r="D133" s="2">
        <v>1</v>
      </c>
      <c r="E133" s="14" t="s">
        <v>461</v>
      </c>
      <c r="F133" s="1">
        <f t="shared" si="10"/>
        <v>0.25</v>
      </c>
      <c r="G133" s="2" t="s">
        <v>143</v>
      </c>
      <c r="H133" s="2"/>
      <c r="I133" s="2"/>
      <c r="J133" s="2"/>
      <c r="K133" s="2"/>
      <c r="L133" s="2"/>
      <c r="M133" s="10">
        <f>89+13*2+7.99</f>
        <v>122.99</v>
      </c>
      <c r="N133" s="10">
        <f t="shared" si="11"/>
        <v>30.747499999999999</v>
      </c>
      <c r="O133" s="2"/>
    </row>
    <row r="134" spans="1:15" ht="18.75">
      <c r="A134" s="25" t="s">
        <v>322</v>
      </c>
      <c r="B134" s="9" t="s">
        <v>464</v>
      </c>
      <c r="C134" s="13" t="s">
        <v>2161</v>
      </c>
      <c r="D134" s="2">
        <v>1</v>
      </c>
      <c r="E134" s="14"/>
      <c r="F134" s="1">
        <f t="shared" si="10"/>
        <v>0.75</v>
      </c>
      <c r="G134" s="2" t="s">
        <v>17</v>
      </c>
      <c r="H134" s="2"/>
      <c r="I134" s="2"/>
      <c r="J134" s="2"/>
      <c r="K134" s="2"/>
      <c r="L134" s="2"/>
      <c r="M134" s="10"/>
      <c r="N134" s="10">
        <v>0</v>
      </c>
      <c r="O134" s="2"/>
    </row>
    <row r="135" spans="1:15" ht="32.25">
      <c r="A135" s="25" t="s">
        <v>322</v>
      </c>
      <c r="B135" s="9" t="s">
        <v>2095</v>
      </c>
      <c r="C135" s="2" t="s">
        <v>2058</v>
      </c>
      <c r="D135" s="2">
        <f>48+4+16+5+2+71+22+7+4+1</f>
        <v>180</v>
      </c>
      <c r="E135" s="2" t="s">
        <v>2254</v>
      </c>
      <c r="F135" s="1">
        <f t="shared" si="10"/>
        <v>0.75</v>
      </c>
      <c r="G135" s="2" t="s">
        <v>17</v>
      </c>
      <c r="H135" s="2"/>
      <c r="I135" s="2"/>
      <c r="J135" s="2"/>
      <c r="K135" s="2"/>
      <c r="L135" s="2"/>
      <c r="M135" s="10">
        <f>(8*7)+(4*6)+(1.37*16)+(2.5)+1+10.66+(22*2.24)+(7*0.6)+(0.41*4)+(1.97)</f>
        <v>173.17</v>
      </c>
      <c r="N135" s="10">
        <f t="shared" ref="N135:N166" si="12">F135*M135</f>
        <v>129.8775</v>
      </c>
      <c r="O135" s="2"/>
    </row>
    <row r="136" spans="1:15" ht="18.75">
      <c r="A136" s="25" t="s">
        <v>322</v>
      </c>
      <c r="B136" s="9" t="s">
        <v>2061</v>
      </c>
      <c r="C136" s="2" t="s">
        <v>2058</v>
      </c>
      <c r="D136" s="2">
        <v>1</v>
      </c>
      <c r="E136" s="2" t="s">
        <v>2060</v>
      </c>
      <c r="F136" s="1">
        <f t="shared" si="10"/>
        <v>0.75</v>
      </c>
      <c r="G136" s="2" t="s">
        <v>17</v>
      </c>
      <c r="H136" s="2"/>
      <c r="I136" s="2"/>
      <c r="J136" s="2"/>
      <c r="K136" s="2"/>
      <c r="L136" s="2"/>
      <c r="M136" s="32">
        <v>59</v>
      </c>
      <c r="N136" s="10">
        <f t="shared" si="12"/>
        <v>44.25</v>
      </c>
      <c r="O136" s="2"/>
    </row>
    <row r="137" spans="1:15" ht="18.75">
      <c r="A137" s="25" t="s">
        <v>322</v>
      </c>
      <c r="B137" s="9" t="s">
        <v>2062</v>
      </c>
      <c r="C137" s="2" t="s">
        <v>2058</v>
      </c>
      <c r="D137" s="2">
        <v>10</v>
      </c>
      <c r="E137" s="2" t="s">
        <v>2255</v>
      </c>
      <c r="F137" s="1">
        <f t="shared" si="10"/>
        <v>0.75</v>
      </c>
      <c r="G137" s="2" t="s">
        <v>17</v>
      </c>
      <c r="H137" s="2"/>
      <c r="I137" s="2"/>
      <c r="J137" s="2"/>
      <c r="K137" s="2"/>
      <c r="L137" s="2"/>
      <c r="M137" s="10">
        <f>9*10</f>
        <v>90</v>
      </c>
      <c r="N137" s="10">
        <f t="shared" si="12"/>
        <v>67.5</v>
      </c>
      <c r="O137" s="2"/>
    </row>
    <row r="138" spans="1:15" ht="18.75">
      <c r="A138" s="25" t="s">
        <v>322</v>
      </c>
      <c r="B138" s="9" t="s">
        <v>2097</v>
      </c>
      <c r="C138" s="2" t="s">
        <v>2058</v>
      </c>
      <c r="D138" s="2">
        <v>8</v>
      </c>
      <c r="E138" s="2" t="s">
        <v>2256</v>
      </c>
      <c r="F138" s="1">
        <f t="shared" si="10"/>
        <v>0.75</v>
      </c>
      <c r="G138" s="2" t="s">
        <v>17</v>
      </c>
      <c r="H138" s="2"/>
      <c r="I138" s="2"/>
      <c r="J138" s="2"/>
      <c r="K138" s="2"/>
      <c r="L138" s="2"/>
      <c r="M138" s="10">
        <f>23*8</f>
        <v>184</v>
      </c>
      <c r="N138" s="10">
        <f t="shared" si="12"/>
        <v>138</v>
      </c>
      <c r="O138" s="2"/>
    </row>
    <row r="139" spans="1:15" ht="57.75" customHeight="1">
      <c r="A139" s="25" t="s">
        <v>322</v>
      </c>
      <c r="B139" s="9" t="s">
        <v>2065</v>
      </c>
      <c r="C139" s="2" t="s">
        <v>2058</v>
      </c>
      <c r="D139" s="2">
        <v>9</v>
      </c>
      <c r="E139" s="2" t="s">
        <v>2063</v>
      </c>
      <c r="F139" s="1">
        <f t="shared" si="10"/>
        <v>0.5</v>
      </c>
      <c r="G139" s="2" t="s">
        <v>21</v>
      </c>
      <c r="H139" s="2"/>
      <c r="I139" s="2"/>
      <c r="J139" s="2"/>
      <c r="K139" s="2"/>
      <c r="L139" s="2"/>
      <c r="M139" s="10">
        <f>(4*3.22)+3.5+6.99</f>
        <v>23.370000000000005</v>
      </c>
      <c r="N139" s="10">
        <f t="shared" si="12"/>
        <v>11.685000000000002</v>
      </c>
      <c r="O139" s="2"/>
    </row>
    <row r="140" spans="1:15" ht="49.5" customHeight="1">
      <c r="A140" s="25" t="s">
        <v>322</v>
      </c>
      <c r="B140" s="9" t="s">
        <v>2066</v>
      </c>
      <c r="C140" s="2" t="s">
        <v>2058</v>
      </c>
      <c r="D140" s="2">
        <v>12</v>
      </c>
      <c r="E140" s="2" t="s">
        <v>2064</v>
      </c>
      <c r="F140" s="1">
        <f t="shared" si="10"/>
        <v>0.5</v>
      </c>
      <c r="G140" s="2" t="s">
        <v>21</v>
      </c>
      <c r="H140" s="2"/>
      <c r="I140" s="2"/>
      <c r="J140" s="2"/>
      <c r="K140" s="2"/>
      <c r="L140" s="2"/>
      <c r="M140" s="10">
        <f>(4*13.2)+(15.99*3)</f>
        <v>100.77</v>
      </c>
      <c r="N140" s="10">
        <f t="shared" si="12"/>
        <v>50.384999999999998</v>
      </c>
      <c r="O140" s="2"/>
    </row>
    <row r="141" spans="1:15" ht="18.75">
      <c r="A141" s="25" t="s">
        <v>322</v>
      </c>
      <c r="B141" s="9" t="s">
        <v>2067</v>
      </c>
      <c r="C141" s="2" t="s">
        <v>2058</v>
      </c>
      <c r="D141" s="2">
        <v>36</v>
      </c>
      <c r="E141" s="2" t="s">
        <v>2257</v>
      </c>
      <c r="F141" s="1">
        <f t="shared" si="10"/>
        <v>0.5</v>
      </c>
      <c r="G141" s="2" t="s">
        <v>21</v>
      </c>
      <c r="H141" s="2"/>
      <c r="I141" s="2"/>
      <c r="J141" s="2"/>
      <c r="K141" s="2"/>
      <c r="L141" s="2"/>
      <c r="M141" s="10">
        <f>0.52*36</f>
        <v>18.72</v>
      </c>
      <c r="N141" s="10">
        <f t="shared" si="12"/>
        <v>9.36</v>
      </c>
      <c r="O141" s="2"/>
    </row>
    <row r="142" spans="1:15" ht="18.75">
      <c r="A142" s="25" t="s">
        <v>322</v>
      </c>
      <c r="B142" s="9" t="s">
        <v>2069</v>
      </c>
      <c r="C142" s="2" t="s">
        <v>2058</v>
      </c>
      <c r="D142" s="2">
        <v>2</v>
      </c>
      <c r="E142" s="2" t="s">
        <v>2068</v>
      </c>
      <c r="F142" s="1">
        <f t="shared" ref="F142:F173" si="13">IF(G142="fair",0.5,0)+IF(G142="good",0.75,0)+IF(G142="poor",0.25,0)+IF(G142="like new",0.9,0)+IF(G142="new",1,0)</f>
        <v>0.5</v>
      </c>
      <c r="G142" s="2" t="s">
        <v>21</v>
      </c>
      <c r="H142" s="2"/>
      <c r="I142" s="2"/>
      <c r="J142" s="2"/>
      <c r="K142" s="2"/>
      <c r="L142" s="2"/>
      <c r="M142" s="10">
        <f>3.29*2</f>
        <v>6.58</v>
      </c>
      <c r="N142" s="10">
        <f t="shared" si="12"/>
        <v>3.29</v>
      </c>
      <c r="O142" s="2"/>
    </row>
    <row r="143" spans="1:15" ht="18.75">
      <c r="A143" s="25" t="s">
        <v>322</v>
      </c>
      <c r="B143" s="9" t="s">
        <v>2070</v>
      </c>
      <c r="C143" s="2" t="s">
        <v>2058</v>
      </c>
      <c r="D143" s="2">
        <v>4</v>
      </c>
      <c r="E143" s="2" t="s">
        <v>2258</v>
      </c>
      <c r="F143" s="1">
        <f t="shared" si="13"/>
        <v>0.75</v>
      </c>
      <c r="G143" s="2" t="s">
        <v>17</v>
      </c>
      <c r="H143" s="2"/>
      <c r="I143" s="2"/>
      <c r="J143" s="2"/>
      <c r="K143" s="2"/>
      <c r="L143" s="2"/>
      <c r="M143" s="10">
        <f>11*4</f>
        <v>44</v>
      </c>
      <c r="N143" s="10">
        <f t="shared" si="12"/>
        <v>33</v>
      </c>
      <c r="O143" s="2"/>
    </row>
    <row r="144" spans="1:15" ht="18.75">
      <c r="A144" s="25" t="s">
        <v>322</v>
      </c>
      <c r="B144" s="9" t="s">
        <v>2070</v>
      </c>
      <c r="C144" s="2" t="s">
        <v>2058</v>
      </c>
      <c r="D144" s="2">
        <v>2</v>
      </c>
      <c r="E144" s="2" t="s">
        <v>2259</v>
      </c>
      <c r="F144" s="1">
        <f t="shared" si="13"/>
        <v>0.75</v>
      </c>
      <c r="G144" s="2" t="s">
        <v>17</v>
      </c>
      <c r="H144" s="2"/>
      <c r="I144" s="2"/>
      <c r="J144" s="2"/>
      <c r="K144" s="2"/>
      <c r="L144" s="2"/>
      <c r="M144" s="10">
        <f>10.98*2</f>
        <v>21.96</v>
      </c>
      <c r="N144" s="10">
        <f t="shared" si="12"/>
        <v>16.47</v>
      </c>
      <c r="O144" s="2"/>
    </row>
    <row r="145" spans="1:15" ht="18.75">
      <c r="A145" s="25" t="s">
        <v>322</v>
      </c>
      <c r="B145" s="9" t="s">
        <v>2071</v>
      </c>
      <c r="C145" s="2" t="s">
        <v>2058</v>
      </c>
      <c r="D145" s="2">
        <v>1</v>
      </c>
      <c r="E145" s="2" t="s">
        <v>2260</v>
      </c>
      <c r="F145" s="1">
        <f t="shared" si="13"/>
        <v>0.75</v>
      </c>
      <c r="G145" s="2" t="s">
        <v>17</v>
      </c>
      <c r="H145" s="2"/>
      <c r="I145" s="2"/>
      <c r="J145" s="2"/>
      <c r="K145" s="2"/>
      <c r="L145" s="2"/>
      <c r="M145" s="10">
        <v>20</v>
      </c>
      <c r="N145" s="10">
        <f t="shared" si="12"/>
        <v>15</v>
      </c>
      <c r="O145" s="2"/>
    </row>
    <row r="146" spans="1:15" ht="18.75">
      <c r="A146" s="25" t="s">
        <v>322</v>
      </c>
      <c r="B146" s="9" t="s">
        <v>2075</v>
      </c>
      <c r="C146" s="2" t="s">
        <v>2058</v>
      </c>
      <c r="D146" s="2">
        <v>1</v>
      </c>
      <c r="E146" s="2" t="s">
        <v>2421</v>
      </c>
      <c r="F146" s="1">
        <f t="shared" si="13"/>
        <v>0.75</v>
      </c>
      <c r="G146" s="2" t="s">
        <v>17</v>
      </c>
      <c r="H146" s="2"/>
      <c r="I146" s="2"/>
      <c r="J146" s="2"/>
      <c r="K146" s="2"/>
      <c r="L146" s="2"/>
      <c r="M146" s="10">
        <v>24.18</v>
      </c>
      <c r="N146" s="10">
        <f t="shared" si="12"/>
        <v>18.134999999999998</v>
      </c>
      <c r="O146" s="2"/>
    </row>
    <row r="147" spans="1:15" ht="18.75">
      <c r="A147" s="25" t="s">
        <v>322</v>
      </c>
      <c r="B147" s="9" t="s">
        <v>2431</v>
      </c>
      <c r="C147" s="2" t="s">
        <v>2058</v>
      </c>
      <c r="D147" s="2">
        <v>2</v>
      </c>
      <c r="E147" s="2" t="s">
        <v>2261</v>
      </c>
      <c r="F147" s="1">
        <f t="shared" si="13"/>
        <v>0.5</v>
      </c>
      <c r="G147" s="2" t="s">
        <v>21</v>
      </c>
      <c r="H147" s="2"/>
      <c r="I147" s="2"/>
      <c r="J147" s="2"/>
      <c r="K147" s="2"/>
      <c r="L147" s="2"/>
      <c r="M147" s="10">
        <f>3.19*2</f>
        <v>6.38</v>
      </c>
      <c r="N147" s="10">
        <f t="shared" si="12"/>
        <v>3.19</v>
      </c>
      <c r="O147" s="2"/>
    </row>
    <row r="148" spans="1:15" ht="18.75">
      <c r="A148" s="25" t="s">
        <v>322</v>
      </c>
      <c r="B148" s="9" t="s">
        <v>2076</v>
      </c>
      <c r="C148" s="2" t="s">
        <v>2058</v>
      </c>
      <c r="D148" s="2">
        <v>10</v>
      </c>
      <c r="E148" s="2" t="s">
        <v>2262</v>
      </c>
      <c r="F148" s="1">
        <f t="shared" si="13"/>
        <v>0.75</v>
      </c>
      <c r="G148" s="2" t="s">
        <v>17</v>
      </c>
      <c r="H148" s="2"/>
      <c r="I148" s="2"/>
      <c r="J148" s="2"/>
      <c r="K148" s="2"/>
      <c r="L148" s="2"/>
      <c r="M148" s="10">
        <f>6.29*10</f>
        <v>62.9</v>
      </c>
      <c r="N148" s="10">
        <f t="shared" si="12"/>
        <v>47.174999999999997</v>
      </c>
      <c r="O148" s="2"/>
    </row>
    <row r="149" spans="1:15" ht="42.75" customHeight="1">
      <c r="A149" s="25" t="s">
        <v>322</v>
      </c>
      <c r="B149" s="9" t="s">
        <v>2096</v>
      </c>
      <c r="C149" s="2" t="s">
        <v>2058</v>
      </c>
      <c r="D149" s="2">
        <v>11</v>
      </c>
      <c r="E149" s="2" t="s">
        <v>2423</v>
      </c>
      <c r="F149" s="1">
        <f t="shared" si="13"/>
        <v>0.5</v>
      </c>
      <c r="G149" s="2" t="s">
        <v>21</v>
      </c>
      <c r="H149" s="2"/>
      <c r="I149" s="2"/>
      <c r="J149" s="2"/>
      <c r="K149" s="2"/>
      <c r="L149" s="2"/>
      <c r="M149" s="10">
        <f>6.59*4</f>
        <v>26.36</v>
      </c>
      <c r="N149" s="10">
        <f t="shared" si="12"/>
        <v>13.18</v>
      </c>
      <c r="O149" s="2"/>
    </row>
    <row r="150" spans="1:15" s="90" customFormat="1">
      <c r="A150" s="25" t="s">
        <v>322</v>
      </c>
      <c r="B150" s="129" t="s">
        <v>2072</v>
      </c>
      <c r="C150" s="86" t="s">
        <v>2058</v>
      </c>
      <c r="D150" s="86">
        <v>2</v>
      </c>
      <c r="E150" s="89" t="s">
        <v>2438</v>
      </c>
      <c r="F150" s="86">
        <v>0.5</v>
      </c>
      <c r="G150" s="86" t="s">
        <v>21</v>
      </c>
      <c r="H150" s="86"/>
      <c r="I150" s="86"/>
      <c r="J150" s="86"/>
      <c r="K150" s="86"/>
      <c r="L150" s="88"/>
      <c r="M150" s="156">
        <f>15.04*2</f>
        <v>30.08</v>
      </c>
      <c r="N150" s="10">
        <f t="shared" si="12"/>
        <v>15.04</v>
      </c>
      <c r="O150" s="89"/>
    </row>
    <row r="151" spans="1:15" s="90" customFormat="1">
      <c r="A151" s="25" t="s">
        <v>322</v>
      </c>
      <c r="B151" s="129" t="s">
        <v>2452</v>
      </c>
      <c r="C151" s="86" t="s">
        <v>2058</v>
      </c>
      <c r="D151" s="86">
        <v>1</v>
      </c>
      <c r="E151" s="89" t="s">
        <v>2073</v>
      </c>
      <c r="F151" s="86">
        <v>0.75</v>
      </c>
      <c r="G151" s="86" t="s">
        <v>17</v>
      </c>
      <c r="H151" s="86"/>
      <c r="I151" s="86"/>
      <c r="J151" s="86"/>
      <c r="K151" s="86"/>
      <c r="L151" s="88"/>
      <c r="M151" s="156">
        <v>15</v>
      </c>
      <c r="N151" s="10">
        <f t="shared" si="12"/>
        <v>11.25</v>
      </c>
      <c r="O151" s="89"/>
    </row>
    <row r="152" spans="1:15" s="90" customFormat="1">
      <c r="A152" s="25" t="s">
        <v>322</v>
      </c>
      <c r="B152" s="129" t="s">
        <v>2074</v>
      </c>
      <c r="C152" s="86" t="s">
        <v>2058</v>
      </c>
      <c r="D152" s="86">
        <v>1</v>
      </c>
      <c r="E152" s="89" t="s">
        <v>2439</v>
      </c>
      <c r="F152" s="86">
        <v>0.75</v>
      </c>
      <c r="G152" s="86" t="s">
        <v>17</v>
      </c>
      <c r="H152" s="86"/>
      <c r="I152" s="86"/>
      <c r="J152" s="86"/>
      <c r="K152" s="86"/>
      <c r="L152" s="88"/>
      <c r="M152" s="156">
        <v>6.99</v>
      </c>
      <c r="N152" s="10">
        <f t="shared" si="12"/>
        <v>5.2424999999999997</v>
      </c>
      <c r="O152" s="89"/>
    </row>
    <row r="153" spans="1:15" ht="18.75">
      <c r="A153" s="25" t="s">
        <v>322</v>
      </c>
      <c r="B153" s="9" t="s">
        <v>2077</v>
      </c>
      <c r="C153" s="2" t="s">
        <v>2058</v>
      </c>
      <c r="D153" s="2">
        <v>15</v>
      </c>
      <c r="E153" s="2" t="s">
        <v>2263</v>
      </c>
      <c r="F153" s="1">
        <f t="shared" ref="F153:F184" si="14">IF(G153="fair",0.5,0)+IF(G153="good",0.75,0)+IF(G153="poor",0.25,0)+IF(G153="like new",0.9,0)+IF(G153="new",1,0)</f>
        <v>0.75</v>
      </c>
      <c r="G153" s="2" t="s">
        <v>17</v>
      </c>
      <c r="H153" s="2"/>
      <c r="I153" s="2"/>
      <c r="J153" s="2"/>
      <c r="K153" s="2"/>
      <c r="L153" s="2"/>
      <c r="M153" s="10">
        <v>33.49</v>
      </c>
      <c r="N153" s="10">
        <f t="shared" si="12"/>
        <v>25.1175</v>
      </c>
      <c r="O153" s="2"/>
    </row>
    <row r="154" spans="1:15" ht="18.75">
      <c r="A154" s="25" t="s">
        <v>322</v>
      </c>
      <c r="B154" s="9" t="s">
        <v>2078</v>
      </c>
      <c r="C154" s="2" t="s">
        <v>2058</v>
      </c>
      <c r="D154" s="2">
        <v>7</v>
      </c>
      <c r="E154" s="2" t="s">
        <v>2264</v>
      </c>
      <c r="F154" s="1">
        <f t="shared" si="14"/>
        <v>0.75</v>
      </c>
      <c r="G154" s="2" t="s">
        <v>17</v>
      </c>
      <c r="H154" s="2"/>
      <c r="I154" s="2"/>
      <c r="J154" s="2"/>
      <c r="K154" s="2"/>
      <c r="L154" s="2"/>
      <c r="M154" s="10">
        <f>1.37*6+0.5*1</f>
        <v>8.7200000000000006</v>
      </c>
      <c r="N154" s="10">
        <f t="shared" si="12"/>
        <v>6.5400000000000009</v>
      </c>
      <c r="O154" s="2"/>
    </row>
    <row r="155" spans="1:15" ht="18.75">
      <c r="A155" s="25" t="s">
        <v>322</v>
      </c>
      <c r="B155" s="9" t="s">
        <v>2079</v>
      </c>
      <c r="C155" s="2" t="s">
        <v>2058</v>
      </c>
      <c r="D155" s="2">
        <v>9</v>
      </c>
      <c r="E155" s="2" t="s">
        <v>2265</v>
      </c>
      <c r="F155" s="1">
        <f t="shared" si="14"/>
        <v>0.75</v>
      </c>
      <c r="G155" s="2" t="s">
        <v>17</v>
      </c>
      <c r="H155" s="2"/>
      <c r="I155" s="2"/>
      <c r="J155" s="2"/>
      <c r="K155" s="2"/>
      <c r="L155" s="2"/>
      <c r="M155" s="10">
        <f>5.26*9</f>
        <v>47.339999999999996</v>
      </c>
      <c r="N155" s="10">
        <f t="shared" si="12"/>
        <v>35.504999999999995</v>
      </c>
      <c r="O155" s="2"/>
    </row>
    <row r="156" spans="1:15" ht="18.75">
      <c r="A156" s="25" t="s">
        <v>322</v>
      </c>
      <c r="B156" s="9" t="s">
        <v>2080</v>
      </c>
      <c r="C156" s="2" t="s">
        <v>2058</v>
      </c>
      <c r="D156" s="2">
        <v>3</v>
      </c>
      <c r="E156" s="2" t="s">
        <v>2266</v>
      </c>
      <c r="F156" s="1">
        <f t="shared" si="14"/>
        <v>0.5</v>
      </c>
      <c r="G156" s="2" t="s">
        <v>21</v>
      </c>
      <c r="H156" s="2"/>
      <c r="I156" s="2"/>
      <c r="J156" s="2"/>
      <c r="K156" s="2"/>
      <c r="L156" s="2"/>
      <c r="M156" s="10">
        <v>20.99</v>
      </c>
      <c r="N156" s="10">
        <f t="shared" si="12"/>
        <v>10.494999999999999</v>
      </c>
      <c r="O156" s="2"/>
    </row>
    <row r="157" spans="1:15" ht="18.75">
      <c r="A157" s="25" t="s">
        <v>322</v>
      </c>
      <c r="B157" s="9" t="s">
        <v>2082</v>
      </c>
      <c r="C157" s="2" t="s">
        <v>2058</v>
      </c>
      <c r="D157" s="2">
        <v>1</v>
      </c>
      <c r="E157" s="11" t="s">
        <v>2267</v>
      </c>
      <c r="F157" s="1">
        <f t="shared" si="14"/>
        <v>0.75</v>
      </c>
      <c r="G157" s="2" t="s">
        <v>17</v>
      </c>
      <c r="H157" s="2"/>
      <c r="I157" s="2"/>
      <c r="J157" s="2"/>
      <c r="K157" s="2"/>
      <c r="L157" s="2"/>
      <c r="M157" s="10">
        <v>1.99</v>
      </c>
      <c r="N157" s="10">
        <f t="shared" si="12"/>
        <v>1.4924999999999999</v>
      </c>
      <c r="O157" s="2"/>
    </row>
    <row r="158" spans="1:15" ht="18.75">
      <c r="A158" s="25" t="s">
        <v>322</v>
      </c>
      <c r="B158" s="9" t="s">
        <v>2081</v>
      </c>
      <c r="C158" s="2" t="s">
        <v>2058</v>
      </c>
      <c r="D158" s="2">
        <v>1</v>
      </c>
      <c r="E158" s="2" t="s">
        <v>2268</v>
      </c>
      <c r="F158" s="1">
        <f t="shared" si="14"/>
        <v>0.5</v>
      </c>
      <c r="G158" s="2" t="s">
        <v>21</v>
      </c>
      <c r="H158" s="2"/>
      <c r="I158" s="2"/>
      <c r="J158" s="2"/>
      <c r="K158" s="2"/>
      <c r="L158" s="2"/>
      <c r="M158" s="10">
        <v>2.98</v>
      </c>
      <c r="N158" s="10">
        <f t="shared" si="12"/>
        <v>1.49</v>
      </c>
      <c r="O158" s="2"/>
    </row>
    <row r="159" spans="1:15" ht="18.75">
      <c r="A159" s="25" t="s">
        <v>322</v>
      </c>
      <c r="B159" s="9" t="s">
        <v>2083</v>
      </c>
      <c r="C159" s="2" t="s">
        <v>2058</v>
      </c>
      <c r="D159" s="2">
        <v>20</v>
      </c>
      <c r="E159" s="2" t="s">
        <v>2269</v>
      </c>
      <c r="F159" s="1">
        <f t="shared" si="14"/>
        <v>0.75</v>
      </c>
      <c r="G159" s="2" t="s">
        <v>17</v>
      </c>
      <c r="H159" s="2"/>
      <c r="I159" s="2"/>
      <c r="J159" s="2"/>
      <c r="K159" s="2"/>
      <c r="L159" s="2"/>
      <c r="M159" s="10">
        <f>3.99*20</f>
        <v>79.800000000000011</v>
      </c>
      <c r="N159" s="10">
        <f t="shared" si="12"/>
        <v>59.850000000000009</v>
      </c>
      <c r="O159" s="2"/>
    </row>
    <row r="160" spans="1:15" ht="18.75">
      <c r="A160" s="25" t="s">
        <v>322</v>
      </c>
      <c r="B160" s="9" t="s">
        <v>2084</v>
      </c>
      <c r="C160" s="2" t="s">
        <v>2058</v>
      </c>
      <c r="D160" s="2">
        <v>1</v>
      </c>
      <c r="E160" s="2" t="s">
        <v>2270</v>
      </c>
      <c r="F160" s="1">
        <f t="shared" si="14"/>
        <v>0.75</v>
      </c>
      <c r="G160" s="2" t="s">
        <v>17</v>
      </c>
      <c r="H160" s="2"/>
      <c r="I160" s="2"/>
      <c r="J160" s="2"/>
      <c r="K160" s="2"/>
      <c r="L160" s="2"/>
      <c r="M160" s="10">
        <v>162.49</v>
      </c>
      <c r="N160" s="10">
        <f t="shared" si="12"/>
        <v>121.86750000000001</v>
      </c>
      <c r="O160" s="2"/>
    </row>
    <row r="161" spans="1:15" ht="18.75">
      <c r="A161" s="25" t="s">
        <v>322</v>
      </c>
      <c r="B161" s="9" t="s">
        <v>2085</v>
      </c>
      <c r="C161" s="2" t="s">
        <v>2058</v>
      </c>
      <c r="D161" s="2">
        <v>1</v>
      </c>
      <c r="E161" s="2" t="s">
        <v>2271</v>
      </c>
      <c r="F161" s="1">
        <f t="shared" si="14"/>
        <v>0.75</v>
      </c>
      <c r="G161" s="2" t="s">
        <v>17</v>
      </c>
      <c r="H161" s="2"/>
      <c r="I161" s="2"/>
      <c r="J161" s="2"/>
      <c r="K161" s="2"/>
      <c r="L161" s="2"/>
      <c r="M161" s="10">
        <v>14</v>
      </c>
      <c r="N161" s="10">
        <f t="shared" si="12"/>
        <v>10.5</v>
      </c>
      <c r="O161" s="2"/>
    </row>
    <row r="162" spans="1:15" ht="18.75">
      <c r="A162" s="25" t="s">
        <v>322</v>
      </c>
      <c r="B162" s="9" t="s">
        <v>2086</v>
      </c>
      <c r="C162" s="2" t="s">
        <v>2058</v>
      </c>
      <c r="D162" s="2">
        <v>2</v>
      </c>
      <c r="E162" s="2" t="s">
        <v>2272</v>
      </c>
      <c r="F162" s="1">
        <f t="shared" si="14"/>
        <v>0.75</v>
      </c>
      <c r="G162" s="2" t="s">
        <v>17</v>
      </c>
      <c r="H162" s="2"/>
      <c r="I162" s="2"/>
      <c r="J162" s="2"/>
      <c r="K162" s="2"/>
      <c r="L162" s="2"/>
      <c r="M162" s="10">
        <f>11.82*2</f>
        <v>23.64</v>
      </c>
      <c r="N162" s="10">
        <f t="shared" si="12"/>
        <v>17.73</v>
      </c>
      <c r="O162" s="2"/>
    </row>
    <row r="163" spans="1:15" ht="18.75">
      <c r="A163" s="25" t="s">
        <v>322</v>
      </c>
      <c r="B163" s="9" t="s">
        <v>1327</v>
      </c>
      <c r="C163" s="2" t="s">
        <v>2058</v>
      </c>
      <c r="D163" s="2">
        <v>2</v>
      </c>
      <c r="E163" s="2" t="s">
        <v>2424</v>
      </c>
      <c r="F163" s="1">
        <f t="shared" si="14"/>
        <v>0.75</v>
      </c>
      <c r="G163" s="2" t="s">
        <v>17</v>
      </c>
      <c r="H163" s="2"/>
      <c r="I163" s="2"/>
      <c r="J163" s="2"/>
      <c r="K163" s="2"/>
      <c r="L163" s="2"/>
      <c r="M163" s="10">
        <f>4.99*2</f>
        <v>9.98</v>
      </c>
      <c r="N163" s="10">
        <f t="shared" si="12"/>
        <v>7.4850000000000003</v>
      </c>
      <c r="O163" s="2"/>
    </row>
    <row r="164" spans="1:15" ht="18.75">
      <c r="A164" s="25" t="s">
        <v>322</v>
      </c>
      <c r="B164" s="9" t="s">
        <v>2087</v>
      </c>
      <c r="C164" s="2" t="s">
        <v>2058</v>
      </c>
      <c r="D164" s="2">
        <v>2</v>
      </c>
      <c r="E164" s="2" t="s">
        <v>2273</v>
      </c>
      <c r="F164" s="1">
        <f t="shared" si="14"/>
        <v>0.5</v>
      </c>
      <c r="G164" s="2" t="s">
        <v>21</v>
      </c>
      <c r="H164" s="2"/>
      <c r="I164" s="2"/>
      <c r="J164" s="2"/>
      <c r="K164" s="2"/>
      <c r="L164" s="2"/>
      <c r="M164" s="10">
        <f>1.5*2</f>
        <v>3</v>
      </c>
      <c r="N164" s="10">
        <f t="shared" si="12"/>
        <v>1.5</v>
      </c>
      <c r="O164" s="2"/>
    </row>
    <row r="165" spans="1:15" ht="18.75">
      <c r="A165" s="25" t="s">
        <v>322</v>
      </c>
      <c r="B165" s="9" t="s">
        <v>2088</v>
      </c>
      <c r="C165" s="2" t="s">
        <v>2058</v>
      </c>
      <c r="D165" s="2">
        <v>1</v>
      </c>
      <c r="E165" s="2" t="s">
        <v>2274</v>
      </c>
      <c r="F165" s="1">
        <f t="shared" si="14"/>
        <v>0.5</v>
      </c>
      <c r="G165" s="2" t="s">
        <v>21</v>
      </c>
      <c r="H165" s="2"/>
      <c r="I165" s="2"/>
      <c r="J165" s="2"/>
      <c r="K165" s="2"/>
      <c r="L165" s="2"/>
      <c r="M165" s="45">
        <v>1.49</v>
      </c>
      <c r="N165" s="10">
        <f t="shared" si="12"/>
        <v>0.745</v>
      </c>
      <c r="O165" s="2"/>
    </row>
    <row r="166" spans="1:15" ht="18.75">
      <c r="A166" s="25" t="s">
        <v>322</v>
      </c>
      <c r="B166" s="9" t="s">
        <v>2089</v>
      </c>
      <c r="C166" s="2" t="s">
        <v>2058</v>
      </c>
      <c r="D166" s="2">
        <v>21</v>
      </c>
      <c r="E166" s="2" t="s">
        <v>2425</v>
      </c>
      <c r="F166" s="1">
        <f t="shared" si="14"/>
        <v>0.5</v>
      </c>
      <c r="G166" s="2" t="s">
        <v>21</v>
      </c>
      <c r="H166" s="2"/>
      <c r="I166" s="2"/>
      <c r="J166" s="2"/>
      <c r="K166" s="2"/>
      <c r="L166" s="2"/>
      <c r="M166" s="10">
        <f>9.36*18+5.36*2+8.14</f>
        <v>187.33999999999997</v>
      </c>
      <c r="N166" s="10">
        <f t="shared" si="12"/>
        <v>93.669999999999987</v>
      </c>
      <c r="O166" s="2"/>
    </row>
    <row r="167" spans="1:15" ht="18.75">
      <c r="A167" s="25" t="s">
        <v>322</v>
      </c>
      <c r="B167" s="9" t="s">
        <v>2090</v>
      </c>
      <c r="C167" s="2" t="s">
        <v>2058</v>
      </c>
      <c r="D167" s="2">
        <v>4</v>
      </c>
      <c r="E167" s="2" t="s">
        <v>2275</v>
      </c>
      <c r="F167" s="1">
        <f t="shared" si="14"/>
        <v>0.5</v>
      </c>
      <c r="G167" s="2" t="s">
        <v>21</v>
      </c>
      <c r="H167" s="2"/>
      <c r="I167" s="2"/>
      <c r="J167" s="2"/>
      <c r="K167" s="2"/>
      <c r="L167" s="2"/>
      <c r="M167" s="10">
        <f>4.59*4</f>
        <v>18.36</v>
      </c>
      <c r="N167" s="10">
        <f t="shared" ref="N167:N198" si="15">F167*M167</f>
        <v>9.18</v>
      </c>
      <c r="O167" s="2"/>
    </row>
    <row r="168" spans="1:15" ht="32.25">
      <c r="A168" s="25" t="s">
        <v>322</v>
      </c>
      <c r="B168" s="9" t="s">
        <v>2091</v>
      </c>
      <c r="C168" s="2" t="s">
        <v>2058</v>
      </c>
      <c r="D168" s="2">
        <f>15+4+7+2</f>
        <v>28</v>
      </c>
      <c r="E168" s="2" t="s">
        <v>2092</v>
      </c>
      <c r="F168" s="1">
        <f t="shared" si="14"/>
        <v>0.5</v>
      </c>
      <c r="G168" s="2" t="s">
        <v>21</v>
      </c>
      <c r="H168" s="2"/>
      <c r="I168" s="2"/>
      <c r="J168" s="2"/>
      <c r="K168" s="2"/>
      <c r="L168" s="2"/>
      <c r="M168" s="10">
        <f>(2.8*4)+(7*1.79)+(15*6.49)+6.28+6.28</f>
        <v>133.64000000000001</v>
      </c>
      <c r="N168" s="10">
        <f t="shared" si="15"/>
        <v>66.820000000000007</v>
      </c>
      <c r="O168" s="2"/>
    </row>
    <row r="169" spans="1:15" ht="18.75">
      <c r="A169" s="11" t="s">
        <v>322</v>
      </c>
      <c r="B169" s="9" t="s">
        <v>2145</v>
      </c>
      <c r="C169" s="2" t="s">
        <v>2058</v>
      </c>
      <c r="D169" s="2">
        <v>3</v>
      </c>
      <c r="E169" s="2" t="s">
        <v>2146</v>
      </c>
      <c r="F169" s="1">
        <f t="shared" si="14"/>
        <v>0.5</v>
      </c>
      <c r="G169" s="2" t="s">
        <v>21</v>
      </c>
      <c r="J169" s="2"/>
      <c r="K169" s="2"/>
      <c r="L169" s="2"/>
      <c r="M169" s="10">
        <f>3*99.99</f>
        <v>299.96999999999997</v>
      </c>
      <c r="N169" s="10">
        <f t="shared" si="15"/>
        <v>149.98499999999999</v>
      </c>
      <c r="O169" s="2"/>
    </row>
    <row r="170" spans="1:15" ht="18.75">
      <c r="A170" s="25" t="s">
        <v>322</v>
      </c>
      <c r="B170" s="9" t="s">
        <v>2093</v>
      </c>
      <c r="C170" s="2" t="s">
        <v>2058</v>
      </c>
      <c r="D170" s="2">
        <v>1</v>
      </c>
      <c r="E170" s="2" t="s">
        <v>2276</v>
      </c>
      <c r="F170" s="1">
        <f t="shared" si="14"/>
        <v>0.75</v>
      </c>
      <c r="G170" s="2" t="s">
        <v>17</v>
      </c>
      <c r="H170" s="2"/>
      <c r="I170" s="2"/>
      <c r="J170" s="2"/>
      <c r="K170" s="2"/>
      <c r="L170" s="2"/>
      <c r="M170" s="10">
        <v>24.99</v>
      </c>
      <c r="N170" s="10">
        <f t="shared" si="15"/>
        <v>18.7425</v>
      </c>
      <c r="O170" s="2"/>
    </row>
    <row r="171" spans="1:15" ht="18.75">
      <c r="A171" s="25" t="s">
        <v>322</v>
      </c>
      <c r="B171" s="9" t="s">
        <v>2094</v>
      </c>
      <c r="C171" s="2" t="s">
        <v>2058</v>
      </c>
      <c r="D171" s="2">
        <v>52</v>
      </c>
      <c r="E171" s="30" t="s">
        <v>2277</v>
      </c>
      <c r="F171" s="1">
        <f t="shared" si="14"/>
        <v>0.75</v>
      </c>
      <c r="G171" s="2" t="s">
        <v>17</v>
      </c>
      <c r="H171" s="2"/>
      <c r="I171" s="2"/>
      <c r="J171" s="2"/>
      <c r="K171" s="2"/>
      <c r="L171" s="2"/>
      <c r="M171" s="10">
        <f>1.4*67.93</f>
        <v>95.102000000000004</v>
      </c>
      <c r="N171" s="10">
        <f t="shared" si="15"/>
        <v>71.32650000000001</v>
      </c>
      <c r="O171" s="2"/>
    </row>
    <row r="172" spans="1:15" ht="18.75">
      <c r="A172" s="25" t="s">
        <v>322</v>
      </c>
      <c r="B172" s="9" t="s">
        <v>2094</v>
      </c>
      <c r="C172" s="2" t="s">
        <v>2058</v>
      </c>
      <c r="D172" s="2">
        <v>24</v>
      </c>
      <c r="E172" s="2" t="s">
        <v>2278</v>
      </c>
      <c r="F172" s="1">
        <f t="shared" si="14"/>
        <v>0.75</v>
      </c>
      <c r="G172" s="2" t="s">
        <v>17</v>
      </c>
      <c r="H172" s="2"/>
      <c r="I172" s="2"/>
      <c r="J172" s="2"/>
      <c r="K172" s="2"/>
      <c r="L172" s="2"/>
      <c r="M172" s="10">
        <f>0.66*35.08</f>
        <v>23.152799999999999</v>
      </c>
      <c r="N172" s="10">
        <f t="shared" si="15"/>
        <v>17.364599999999999</v>
      </c>
      <c r="O172" s="2"/>
    </row>
    <row r="173" spans="1:15" ht="18.75">
      <c r="A173" s="25" t="s">
        <v>322</v>
      </c>
      <c r="B173" s="9" t="s">
        <v>2094</v>
      </c>
      <c r="C173" s="2" t="s">
        <v>2058</v>
      </c>
      <c r="D173" s="2">
        <v>17</v>
      </c>
      <c r="E173" s="2" t="s">
        <v>2279</v>
      </c>
      <c r="F173" s="1">
        <f t="shared" si="14"/>
        <v>0.75</v>
      </c>
      <c r="G173" s="2" t="s">
        <v>17</v>
      </c>
      <c r="H173" s="2"/>
      <c r="I173" s="2"/>
      <c r="J173" s="2"/>
      <c r="K173" s="2"/>
      <c r="L173" s="2"/>
      <c r="M173" s="10">
        <f>17*0.92</f>
        <v>15.64</v>
      </c>
      <c r="N173" s="10">
        <f t="shared" si="15"/>
        <v>11.73</v>
      </c>
      <c r="O173" s="2"/>
    </row>
    <row r="174" spans="1:15" ht="18.75">
      <c r="A174" s="25" t="s">
        <v>322</v>
      </c>
      <c r="B174" s="9" t="s">
        <v>2094</v>
      </c>
      <c r="C174" s="2" t="s">
        <v>2058</v>
      </c>
      <c r="D174" s="2">
        <v>42</v>
      </c>
      <c r="E174" s="2" t="s">
        <v>2280</v>
      </c>
      <c r="F174" s="1">
        <f t="shared" si="14"/>
        <v>0.75</v>
      </c>
      <c r="G174" s="2" t="s">
        <v>17</v>
      </c>
      <c r="H174" s="2"/>
      <c r="I174" s="2"/>
      <c r="J174" s="2"/>
      <c r="K174" s="2"/>
      <c r="L174" s="2"/>
      <c r="M174" s="10">
        <f>1.16*34.13</f>
        <v>39.590800000000002</v>
      </c>
      <c r="N174" s="10">
        <f t="shared" si="15"/>
        <v>29.693100000000001</v>
      </c>
      <c r="O174" s="2"/>
    </row>
    <row r="175" spans="1:15" ht="18.75">
      <c r="A175" s="25" t="s">
        <v>322</v>
      </c>
      <c r="B175" s="9" t="s">
        <v>2094</v>
      </c>
      <c r="C175" s="2" t="s">
        <v>2058</v>
      </c>
      <c r="D175" s="2">
        <v>18</v>
      </c>
      <c r="E175" s="2" t="s">
        <v>2281</v>
      </c>
      <c r="F175" s="1">
        <f t="shared" si="14"/>
        <v>0.75</v>
      </c>
      <c r="G175" s="2" t="s">
        <v>17</v>
      </c>
      <c r="H175" s="2"/>
      <c r="I175" s="2"/>
      <c r="J175" s="2"/>
      <c r="K175" s="2"/>
      <c r="L175" s="2"/>
      <c r="M175" s="10">
        <f>1.5*42.97</f>
        <v>64.454999999999998</v>
      </c>
      <c r="N175" s="10">
        <f t="shared" si="15"/>
        <v>48.341250000000002</v>
      </c>
      <c r="O175" s="2"/>
    </row>
    <row r="176" spans="1:15" ht="18.75">
      <c r="A176" s="25" t="s">
        <v>322</v>
      </c>
      <c r="B176" s="9" t="s">
        <v>2094</v>
      </c>
      <c r="C176" s="2" t="s">
        <v>2058</v>
      </c>
      <c r="D176" s="2">
        <v>35</v>
      </c>
      <c r="E176" s="2" t="s">
        <v>2282</v>
      </c>
      <c r="F176" s="1">
        <f t="shared" si="14"/>
        <v>0.75</v>
      </c>
      <c r="G176" s="2" t="s">
        <v>17</v>
      </c>
      <c r="H176" s="2"/>
      <c r="I176" s="2"/>
      <c r="J176" s="2"/>
      <c r="K176" s="2"/>
      <c r="L176" s="2"/>
      <c r="M176" s="10">
        <f>5.83*33.99</f>
        <v>198.16170000000002</v>
      </c>
      <c r="N176" s="10">
        <f t="shared" si="15"/>
        <v>148.62127500000003</v>
      </c>
      <c r="O176" s="2"/>
    </row>
    <row r="177" spans="1:15" ht="18.75">
      <c r="A177" s="25" t="s">
        <v>322</v>
      </c>
      <c r="B177" s="9" t="s">
        <v>2094</v>
      </c>
      <c r="C177" s="2" t="s">
        <v>2058</v>
      </c>
      <c r="D177" s="2">
        <v>34</v>
      </c>
      <c r="E177" s="2" t="s">
        <v>2283</v>
      </c>
      <c r="F177" s="1">
        <f t="shared" si="14"/>
        <v>0.75</v>
      </c>
      <c r="G177" s="2" t="s">
        <v>17</v>
      </c>
      <c r="H177" s="2"/>
      <c r="I177" s="2"/>
      <c r="J177" s="2"/>
      <c r="K177" s="2"/>
      <c r="L177" s="2"/>
      <c r="M177" s="10">
        <f>1.4*59.6</f>
        <v>83.44</v>
      </c>
      <c r="N177" s="10">
        <f t="shared" si="15"/>
        <v>62.58</v>
      </c>
      <c r="O177" s="2"/>
    </row>
    <row r="178" spans="1:15" ht="18.75">
      <c r="A178" s="25" t="s">
        <v>322</v>
      </c>
      <c r="B178" s="9" t="s">
        <v>2094</v>
      </c>
      <c r="C178" s="2" t="s">
        <v>2058</v>
      </c>
      <c r="D178" s="2">
        <v>163</v>
      </c>
      <c r="E178" s="2" t="s">
        <v>2284</v>
      </c>
      <c r="F178" s="1">
        <f t="shared" si="14"/>
        <v>0.75</v>
      </c>
      <c r="G178" s="2" t="s">
        <v>17</v>
      </c>
      <c r="H178" s="2"/>
      <c r="I178" s="2"/>
      <c r="J178" s="2"/>
      <c r="K178" s="2"/>
      <c r="L178" s="2"/>
      <c r="M178" s="10">
        <f>13.5*44.06</f>
        <v>594.81000000000006</v>
      </c>
      <c r="N178" s="10">
        <f t="shared" si="15"/>
        <v>446.10750000000007</v>
      </c>
      <c r="O178" s="2"/>
    </row>
    <row r="179" spans="1:15" ht="18.75">
      <c r="A179" s="25" t="s">
        <v>322</v>
      </c>
      <c r="B179" s="9" t="s">
        <v>2094</v>
      </c>
      <c r="C179" s="2" t="s">
        <v>2058</v>
      </c>
      <c r="D179" s="2">
        <v>18</v>
      </c>
      <c r="E179" s="2" t="s">
        <v>2285</v>
      </c>
      <c r="F179" s="1">
        <f t="shared" si="14"/>
        <v>0.75</v>
      </c>
      <c r="G179" s="28" t="s">
        <v>17</v>
      </c>
      <c r="H179" s="28"/>
      <c r="I179" s="28"/>
      <c r="J179" s="28"/>
      <c r="K179" s="28"/>
      <c r="L179" s="28"/>
      <c r="M179" s="46">
        <f>1.5*43.15</f>
        <v>64.724999999999994</v>
      </c>
      <c r="N179" s="10">
        <f t="shared" si="15"/>
        <v>48.543749999999996</v>
      </c>
      <c r="O179" s="28"/>
    </row>
    <row r="180" spans="1:15" ht="18.75">
      <c r="A180" s="25" t="s">
        <v>322</v>
      </c>
      <c r="B180" s="9" t="s">
        <v>465</v>
      </c>
      <c r="C180" s="2" t="s">
        <v>2058</v>
      </c>
      <c r="D180" s="2">
        <v>4</v>
      </c>
      <c r="E180" s="2" t="s">
        <v>2286</v>
      </c>
      <c r="F180" s="1">
        <f t="shared" si="14"/>
        <v>0.75</v>
      </c>
      <c r="G180" s="30" t="s">
        <v>17</v>
      </c>
      <c r="H180" s="30"/>
      <c r="I180" s="30"/>
      <c r="J180" s="30"/>
      <c r="K180" s="30"/>
      <c r="L180" s="30"/>
      <c r="M180" s="31">
        <f>4*11</f>
        <v>44</v>
      </c>
      <c r="N180" s="10">
        <f t="shared" si="15"/>
        <v>33</v>
      </c>
      <c r="O180" s="30"/>
    </row>
    <row r="181" spans="1:15" ht="18.75">
      <c r="A181" s="25" t="s">
        <v>322</v>
      </c>
      <c r="B181" s="9" t="s">
        <v>465</v>
      </c>
      <c r="C181" s="2" t="s">
        <v>2058</v>
      </c>
      <c r="D181" s="2">
        <v>1</v>
      </c>
      <c r="E181" s="2" t="s">
        <v>466</v>
      </c>
      <c r="F181" s="1">
        <f t="shared" si="14"/>
        <v>0.75</v>
      </c>
      <c r="G181" s="2" t="s">
        <v>17</v>
      </c>
      <c r="H181" s="2"/>
      <c r="I181" s="2"/>
      <c r="J181" s="2"/>
      <c r="K181" s="2"/>
      <c r="L181" s="2"/>
      <c r="M181" s="10">
        <f>17.99</f>
        <v>17.989999999999998</v>
      </c>
      <c r="N181" s="10">
        <f t="shared" si="15"/>
        <v>13.4925</v>
      </c>
      <c r="O181" s="2"/>
    </row>
    <row r="182" spans="1:15" ht="18.75">
      <c r="A182" s="25" t="s">
        <v>322</v>
      </c>
      <c r="B182" s="9" t="s">
        <v>465</v>
      </c>
      <c r="C182" s="2" t="s">
        <v>2058</v>
      </c>
      <c r="D182" s="2">
        <v>1</v>
      </c>
      <c r="E182" s="2" t="s">
        <v>467</v>
      </c>
      <c r="F182" s="1">
        <f t="shared" si="14"/>
        <v>0.75</v>
      </c>
      <c r="G182" s="2" t="s">
        <v>17</v>
      </c>
      <c r="H182" s="2"/>
      <c r="I182" s="2"/>
      <c r="J182" s="2"/>
      <c r="K182" s="2"/>
      <c r="L182" s="2"/>
      <c r="M182" s="10">
        <f>12.74</f>
        <v>12.74</v>
      </c>
      <c r="N182" s="10">
        <f t="shared" si="15"/>
        <v>9.5549999999999997</v>
      </c>
      <c r="O182" s="2"/>
    </row>
    <row r="183" spans="1:15" ht="18.75">
      <c r="A183" s="25" t="s">
        <v>322</v>
      </c>
      <c r="B183" s="9" t="s">
        <v>465</v>
      </c>
      <c r="C183" s="2" t="s">
        <v>2058</v>
      </c>
      <c r="D183" s="2">
        <v>1</v>
      </c>
      <c r="E183" s="2" t="s">
        <v>468</v>
      </c>
      <c r="F183" s="1">
        <f t="shared" si="14"/>
        <v>0.75</v>
      </c>
      <c r="G183" s="2" t="s">
        <v>17</v>
      </c>
      <c r="H183" s="2"/>
      <c r="I183" s="2"/>
      <c r="J183" s="2"/>
      <c r="K183" s="2"/>
      <c r="L183" s="2"/>
      <c r="M183" s="10">
        <f>2.25</f>
        <v>2.25</v>
      </c>
      <c r="N183" s="10">
        <f t="shared" si="15"/>
        <v>1.6875</v>
      </c>
      <c r="O183" s="2"/>
    </row>
    <row r="184" spans="1:15" ht="18.75">
      <c r="A184" s="25" t="s">
        <v>322</v>
      </c>
      <c r="B184" s="9" t="s">
        <v>465</v>
      </c>
      <c r="C184" s="2" t="s">
        <v>2058</v>
      </c>
      <c r="D184" s="2">
        <v>1</v>
      </c>
      <c r="E184" s="2" t="s">
        <v>469</v>
      </c>
      <c r="F184" s="1">
        <f t="shared" si="14"/>
        <v>0.75</v>
      </c>
      <c r="G184" s="2" t="s">
        <v>17</v>
      </c>
      <c r="H184" s="2"/>
      <c r="I184" s="2"/>
      <c r="J184" s="2"/>
      <c r="K184" s="2"/>
      <c r="L184" s="2"/>
      <c r="M184" s="10">
        <f>1.5</f>
        <v>1.5</v>
      </c>
      <c r="N184" s="10">
        <f t="shared" si="15"/>
        <v>1.125</v>
      </c>
      <c r="O184" s="2"/>
    </row>
    <row r="185" spans="1:15" ht="18.75">
      <c r="A185" s="25" t="s">
        <v>322</v>
      </c>
      <c r="B185" s="9" t="s">
        <v>465</v>
      </c>
      <c r="C185" s="2" t="s">
        <v>2058</v>
      </c>
      <c r="D185" s="2">
        <v>1</v>
      </c>
      <c r="E185" s="2" t="s">
        <v>470</v>
      </c>
      <c r="F185" s="1">
        <f t="shared" ref="F185:F216" si="16">IF(G185="fair",0.5,0)+IF(G185="good",0.75,0)+IF(G185="poor",0.25,0)+IF(G185="like new",0.9,0)+IF(G185="new",1,0)</f>
        <v>0.5</v>
      </c>
      <c r="G185" s="2" t="s">
        <v>21</v>
      </c>
      <c r="H185" s="2"/>
      <c r="I185" s="2"/>
      <c r="J185" s="2"/>
      <c r="K185" s="2"/>
      <c r="L185" s="2"/>
      <c r="M185" s="10">
        <f>18.99</f>
        <v>18.989999999999998</v>
      </c>
      <c r="N185" s="10">
        <f t="shared" si="15"/>
        <v>9.4949999999999992</v>
      </c>
      <c r="O185" s="2"/>
    </row>
    <row r="186" spans="1:15" ht="18.75">
      <c r="A186" s="25" t="s">
        <v>322</v>
      </c>
      <c r="B186" s="9" t="s">
        <v>465</v>
      </c>
      <c r="C186" s="2" t="s">
        <v>2058</v>
      </c>
      <c r="D186" s="2">
        <v>1</v>
      </c>
      <c r="E186" s="2" t="s">
        <v>471</v>
      </c>
      <c r="F186" s="1">
        <f t="shared" si="16"/>
        <v>0.75</v>
      </c>
      <c r="G186" s="2" t="s">
        <v>17</v>
      </c>
      <c r="H186" s="2"/>
      <c r="I186" s="2"/>
      <c r="J186" s="2"/>
      <c r="K186" s="2"/>
      <c r="L186" s="2"/>
      <c r="M186" s="10">
        <f>0.4</f>
        <v>0.4</v>
      </c>
      <c r="N186" s="10">
        <f t="shared" si="15"/>
        <v>0.30000000000000004</v>
      </c>
      <c r="O186" s="2"/>
    </row>
    <row r="187" spans="1:15" ht="18.75">
      <c r="A187" s="25" t="s">
        <v>322</v>
      </c>
      <c r="B187" s="9" t="s">
        <v>1636</v>
      </c>
      <c r="C187" s="2" t="s">
        <v>2058</v>
      </c>
      <c r="D187" s="2">
        <v>27</v>
      </c>
      <c r="E187" s="2" t="s">
        <v>472</v>
      </c>
      <c r="F187" s="1">
        <f t="shared" si="16"/>
        <v>1</v>
      </c>
      <c r="G187" s="2" t="s">
        <v>59</v>
      </c>
      <c r="H187" s="2"/>
      <c r="I187" s="2"/>
      <c r="J187" s="2"/>
      <c r="K187" s="2"/>
      <c r="L187" s="2"/>
      <c r="M187" s="10">
        <f>2*19.62</f>
        <v>39.24</v>
      </c>
      <c r="N187" s="10">
        <f t="shared" si="15"/>
        <v>39.24</v>
      </c>
      <c r="O187" s="2"/>
    </row>
    <row r="188" spans="1:15" ht="18.75">
      <c r="A188" s="25" t="s">
        <v>322</v>
      </c>
      <c r="B188" s="9" t="s">
        <v>1636</v>
      </c>
      <c r="C188" s="2" t="s">
        <v>2058</v>
      </c>
      <c r="D188" s="2">
        <v>75</v>
      </c>
      <c r="E188" s="2" t="s">
        <v>2287</v>
      </c>
      <c r="F188" s="1">
        <f t="shared" si="16"/>
        <v>0.75</v>
      </c>
      <c r="G188" s="2" t="s">
        <v>17</v>
      </c>
      <c r="H188" s="2"/>
      <c r="I188" s="2"/>
      <c r="J188" s="2"/>
      <c r="K188" s="2"/>
      <c r="L188" s="2"/>
      <c r="M188" s="10">
        <f>75*0.83</f>
        <v>62.25</v>
      </c>
      <c r="N188" s="10">
        <f t="shared" si="15"/>
        <v>46.6875</v>
      </c>
      <c r="O188" s="2"/>
    </row>
    <row r="189" spans="1:15" ht="18.75">
      <c r="A189" s="25" t="s">
        <v>322</v>
      </c>
      <c r="B189" s="9" t="s">
        <v>1636</v>
      </c>
      <c r="C189" s="2" t="s">
        <v>2058</v>
      </c>
      <c r="D189" s="2">
        <v>120</v>
      </c>
      <c r="E189" s="2" t="s">
        <v>473</v>
      </c>
      <c r="F189" s="1">
        <f t="shared" si="16"/>
        <v>0.5</v>
      </c>
      <c r="G189" s="2" t="s">
        <v>21</v>
      </c>
      <c r="H189" s="2"/>
      <c r="I189" s="2"/>
      <c r="J189" s="2"/>
      <c r="K189" s="2"/>
      <c r="L189" s="2"/>
      <c r="M189" s="10">
        <f>316.9+343.9+188.9</f>
        <v>849.69999999999993</v>
      </c>
      <c r="N189" s="10">
        <f t="shared" si="15"/>
        <v>424.84999999999997</v>
      </c>
      <c r="O189" s="2"/>
    </row>
    <row r="190" spans="1:15" ht="18.75">
      <c r="A190" s="25" t="s">
        <v>322</v>
      </c>
      <c r="B190" s="9" t="s">
        <v>1636</v>
      </c>
      <c r="C190" s="2" t="s">
        <v>2058</v>
      </c>
      <c r="D190" s="2">
        <v>18</v>
      </c>
      <c r="E190" s="2" t="s">
        <v>2288</v>
      </c>
      <c r="F190" s="1">
        <f t="shared" si="16"/>
        <v>0.5</v>
      </c>
      <c r="G190" s="2" t="s">
        <v>21</v>
      </c>
      <c r="H190" s="2"/>
      <c r="I190" s="2"/>
      <c r="J190" s="2"/>
      <c r="K190" s="2"/>
      <c r="L190" s="2"/>
      <c r="M190" s="10">
        <f>1.5*12.96</f>
        <v>19.440000000000001</v>
      </c>
      <c r="N190" s="10">
        <f t="shared" si="15"/>
        <v>9.7200000000000006</v>
      </c>
      <c r="O190" s="2"/>
    </row>
    <row r="191" spans="1:15" ht="18.75">
      <c r="A191" s="25" t="s">
        <v>322</v>
      </c>
      <c r="B191" s="9" t="s">
        <v>1636</v>
      </c>
      <c r="C191" s="2" t="s">
        <v>2058</v>
      </c>
      <c r="D191" s="2">
        <v>12</v>
      </c>
      <c r="E191" s="2" t="s">
        <v>2289</v>
      </c>
      <c r="F191" s="1">
        <f t="shared" si="16"/>
        <v>1</v>
      </c>
      <c r="G191" s="2" t="s">
        <v>59</v>
      </c>
      <c r="H191" s="2"/>
      <c r="I191" s="2"/>
      <c r="J191" s="2"/>
      <c r="K191" s="2"/>
      <c r="L191" s="2"/>
      <c r="M191" s="10">
        <f>18.89</f>
        <v>18.89</v>
      </c>
      <c r="N191" s="10">
        <f t="shared" si="15"/>
        <v>18.89</v>
      </c>
      <c r="O191" s="2"/>
    </row>
    <row r="192" spans="1:15" ht="18.75">
      <c r="A192" s="25" t="s">
        <v>322</v>
      </c>
      <c r="B192" s="9" t="s">
        <v>474</v>
      </c>
      <c r="C192" s="2" t="s">
        <v>2058</v>
      </c>
      <c r="D192" s="2">
        <v>75</v>
      </c>
      <c r="E192" s="2" t="s">
        <v>2290</v>
      </c>
      <c r="F192" s="1">
        <f t="shared" si="16"/>
        <v>0.75</v>
      </c>
      <c r="G192" s="2" t="s">
        <v>17</v>
      </c>
      <c r="H192" s="2"/>
      <c r="I192" s="2"/>
      <c r="J192" s="2"/>
      <c r="K192" s="2"/>
      <c r="L192" s="2"/>
      <c r="M192" s="10">
        <f>2.08*114.96</f>
        <v>239.11679999999998</v>
      </c>
      <c r="N192" s="10">
        <f t="shared" si="15"/>
        <v>179.33759999999998</v>
      </c>
      <c r="O192" s="2"/>
    </row>
    <row r="193" spans="1:15" ht="18.75">
      <c r="A193" s="25" t="s">
        <v>322</v>
      </c>
      <c r="B193" s="9" t="s">
        <v>474</v>
      </c>
      <c r="C193" s="2" t="s">
        <v>2058</v>
      </c>
      <c r="D193" s="2">
        <v>87</v>
      </c>
      <c r="E193" s="2" t="s">
        <v>2291</v>
      </c>
      <c r="F193" s="1">
        <f t="shared" si="16"/>
        <v>0.75</v>
      </c>
      <c r="G193" s="2" t="s">
        <v>17</v>
      </c>
      <c r="H193" s="2"/>
      <c r="I193" s="2"/>
      <c r="J193" s="2"/>
      <c r="K193" s="2"/>
      <c r="L193" s="2"/>
      <c r="M193" s="10">
        <f>2.41*120.88</f>
        <v>291.32080000000002</v>
      </c>
      <c r="N193" s="10">
        <f t="shared" si="15"/>
        <v>218.49060000000003</v>
      </c>
      <c r="O193" s="2"/>
    </row>
    <row r="194" spans="1:15" ht="18.75">
      <c r="A194" s="25" t="s">
        <v>322</v>
      </c>
      <c r="B194" s="9" t="s">
        <v>474</v>
      </c>
      <c r="C194" s="2" t="s">
        <v>2058</v>
      </c>
      <c r="D194" s="2">
        <v>128</v>
      </c>
      <c r="E194" s="2" t="s">
        <v>2292</v>
      </c>
      <c r="F194" s="1">
        <f t="shared" si="16"/>
        <v>0.75</v>
      </c>
      <c r="G194" s="2" t="s">
        <v>17</v>
      </c>
      <c r="H194" s="2"/>
      <c r="I194" s="2"/>
      <c r="J194" s="2"/>
      <c r="K194" s="2"/>
      <c r="L194" s="2"/>
      <c r="M194" s="10">
        <f>2.16*128</f>
        <v>276.48</v>
      </c>
      <c r="N194" s="10">
        <f t="shared" si="15"/>
        <v>207.36</v>
      </c>
      <c r="O194" s="2"/>
    </row>
    <row r="195" spans="1:15" ht="18.75">
      <c r="A195" s="25" t="s">
        <v>322</v>
      </c>
      <c r="B195" s="9" t="s">
        <v>474</v>
      </c>
      <c r="C195" s="2" t="s">
        <v>2058</v>
      </c>
      <c r="D195" s="2">
        <v>74</v>
      </c>
      <c r="E195" s="2" t="s">
        <v>2293</v>
      </c>
      <c r="F195" s="1">
        <f t="shared" si="16"/>
        <v>0.75</v>
      </c>
      <c r="G195" s="2" t="s">
        <v>17</v>
      </c>
      <c r="H195" s="2"/>
      <c r="I195" s="2"/>
      <c r="J195" s="2"/>
      <c r="K195" s="2"/>
      <c r="L195" s="2"/>
      <c r="M195" s="10">
        <f>1.89*74</f>
        <v>139.85999999999999</v>
      </c>
      <c r="N195" s="10">
        <f t="shared" si="15"/>
        <v>104.89499999999998</v>
      </c>
      <c r="O195" s="2"/>
    </row>
    <row r="196" spans="1:15" ht="18.75">
      <c r="A196" s="25" t="s">
        <v>322</v>
      </c>
      <c r="B196" s="9" t="s">
        <v>474</v>
      </c>
      <c r="C196" s="2" t="s">
        <v>2058</v>
      </c>
      <c r="D196" s="2">
        <v>53</v>
      </c>
      <c r="E196" s="2" t="s">
        <v>2294</v>
      </c>
      <c r="F196" s="1">
        <f t="shared" si="16"/>
        <v>0.75</v>
      </c>
      <c r="G196" s="2" t="s">
        <v>17</v>
      </c>
      <c r="H196" s="2"/>
      <c r="I196" s="2"/>
      <c r="J196" s="2"/>
      <c r="K196" s="2"/>
      <c r="L196" s="2"/>
      <c r="M196" s="10">
        <f>3.89*53</f>
        <v>206.17000000000002</v>
      </c>
      <c r="N196" s="10">
        <f t="shared" si="15"/>
        <v>154.6275</v>
      </c>
      <c r="O196" s="2"/>
    </row>
    <row r="197" spans="1:15" ht="18.75">
      <c r="A197" s="25" t="s">
        <v>322</v>
      </c>
      <c r="B197" s="9" t="s">
        <v>474</v>
      </c>
      <c r="C197" s="2" t="s">
        <v>2058</v>
      </c>
      <c r="D197" s="2">
        <v>62</v>
      </c>
      <c r="E197" s="2" t="s">
        <v>2295</v>
      </c>
      <c r="F197" s="1">
        <f t="shared" si="16"/>
        <v>0.75</v>
      </c>
      <c r="G197" s="2" t="s">
        <v>17</v>
      </c>
      <c r="H197" s="2"/>
      <c r="I197" s="2"/>
      <c r="J197" s="2"/>
      <c r="K197" s="2"/>
      <c r="L197" s="2"/>
      <c r="M197" s="10">
        <f>1.25*62</f>
        <v>77.5</v>
      </c>
      <c r="N197" s="10">
        <f t="shared" si="15"/>
        <v>58.125</v>
      </c>
      <c r="O197" s="2"/>
    </row>
    <row r="198" spans="1:15" ht="18.75">
      <c r="A198" s="25" t="s">
        <v>322</v>
      </c>
      <c r="B198" s="9" t="s">
        <v>474</v>
      </c>
      <c r="C198" s="2" t="s">
        <v>2058</v>
      </c>
      <c r="D198" s="2">
        <v>32</v>
      </c>
      <c r="E198" s="2" t="s">
        <v>2296</v>
      </c>
      <c r="F198" s="1">
        <f t="shared" si="16"/>
        <v>0.75</v>
      </c>
      <c r="G198" s="2" t="s">
        <v>17</v>
      </c>
      <c r="H198" s="2"/>
      <c r="I198" s="2"/>
      <c r="J198" s="2"/>
      <c r="K198" s="2"/>
      <c r="L198" s="2"/>
      <c r="M198" s="10">
        <f>3.68*32</f>
        <v>117.76</v>
      </c>
      <c r="N198" s="10">
        <f t="shared" si="15"/>
        <v>88.320000000000007</v>
      </c>
      <c r="O198" s="2"/>
    </row>
    <row r="199" spans="1:15" ht="18.75">
      <c r="A199" s="25" t="s">
        <v>322</v>
      </c>
      <c r="B199" s="9" t="s">
        <v>474</v>
      </c>
      <c r="C199" s="2" t="s">
        <v>2058</v>
      </c>
      <c r="D199" s="2">
        <v>2</v>
      </c>
      <c r="E199" s="2" t="s">
        <v>2297</v>
      </c>
      <c r="F199" s="1">
        <f t="shared" si="16"/>
        <v>0.75</v>
      </c>
      <c r="G199" s="2" t="s">
        <v>17</v>
      </c>
      <c r="H199" s="2"/>
      <c r="I199" s="2"/>
      <c r="J199" s="2"/>
      <c r="K199" s="2"/>
      <c r="L199" s="2"/>
      <c r="M199" s="10">
        <f>4.01*2</f>
        <v>8.02</v>
      </c>
      <c r="N199" s="10">
        <f t="shared" ref="N199:N230" si="17">F199*M199</f>
        <v>6.0149999999999997</v>
      </c>
      <c r="O199" s="2"/>
    </row>
    <row r="200" spans="1:15" ht="18.75">
      <c r="A200" s="25" t="s">
        <v>322</v>
      </c>
      <c r="B200" s="9" t="s">
        <v>474</v>
      </c>
      <c r="C200" s="2" t="s">
        <v>2058</v>
      </c>
      <c r="D200" s="2">
        <v>3</v>
      </c>
      <c r="E200" s="2" t="s">
        <v>2298</v>
      </c>
      <c r="F200" s="1">
        <f t="shared" si="16"/>
        <v>0.75</v>
      </c>
      <c r="G200" s="2" t="s">
        <v>17</v>
      </c>
      <c r="H200" s="2"/>
      <c r="I200" s="2"/>
      <c r="J200" s="2"/>
      <c r="K200" s="2"/>
      <c r="L200" s="2"/>
      <c r="M200" s="10">
        <f>1.89*3</f>
        <v>5.67</v>
      </c>
      <c r="N200" s="10">
        <f t="shared" si="17"/>
        <v>4.2524999999999995</v>
      </c>
      <c r="O200" s="2"/>
    </row>
    <row r="201" spans="1:15" ht="18.75">
      <c r="A201" s="25" t="s">
        <v>322</v>
      </c>
      <c r="B201" s="9" t="s">
        <v>474</v>
      </c>
      <c r="C201" s="2" t="s">
        <v>2058</v>
      </c>
      <c r="D201" s="2">
        <v>2</v>
      </c>
      <c r="E201" s="2" t="s">
        <v>2299</v>
      </c>
      <c r="F201" s="1">
        <f t="shared" si="16"/>
        <v>0.75</v>
      </c>
      <c r="G201" s="2" t="s">
        <v>17</v>
      </c>
      <c r="H201" s="2"/>
      <c r="I201" s="2"/>
      <c r="J201" s="2"/>
      <c r="K201" s="2"/>
      <c r="L201" s="2"/>
      <c r="M201" s="10">
        <f>3.3*2</f>
        <v>6.6</v>
      </c>
      <c r="N201" s="10">
        <f t="shared" si="17"/>
        <v>4.9499999999999993</v>
      </c>
      <c r="O201" s="2"/>
    </row>
    <row r="202" spans="1:15" ht="18.75">
      <c r="A202" s="25" t="s">
        <v>322</v>
      </c>
      <c r="B202" s="9" t="s">
        <v>474</v>
      </c>
      <c r="C202" s="2" t="s">
        <v>2058</v>
      </c>
      <c r="D202" s="2">
        <v>3</v>
      </c>
      <c r="E202" s="2" t="s">
        <v>475</v>
      </c>
      <c r="F202" s="1">
        <f t="shared" si="16"/>
        <v>0.75</v>
      </c>
      <c r="G202" s="2" t="s">
        <v>17</v>
      </c>
      <c r="H202" s="2"/>
      <c r="I202" s="2"/>
      <c r="J202" s="2"/>
      <c r="K202" s="2"/>
      <c r="L202" s="2"/>
      <c r="M202" s="10">
        <f>3.3*3</f>
        <v>9.8999999999999986</v>
      </c>
      <c r="N202" s="10">
        <f t="shared" si="17"/>
        <v>7.4249999999999989</v>
      </c>
      <c r="O202" s="2"/>
    </row>
    <row r="203" spans="1:15" ht="18.75">
      <c r="A203" s="25" t="s">
        <v>322</v>
      </c>
      <c r="B203" s="9" t="s">
        <v>474</v>
      </c>
      <c r="C203" s="2" t="s">
        <v>2058</v>
      </c>
      <c r="D203" s="2">
        <v>13</v>
      </c>
      <c r="E203" s="2" t="s">
        <v>2428</v>
      </c>
      <c r="F203" s="1">
        <f t="shared" si="16"/>
        <v>0.75</v>
      </c>
      <c r="G203" s="2" t="s">
        <v>17</v>
      </c>
      <c r="H203" s="2"/>
      <c r="I203" s="2"/>
      <c r="J203" s="2"/>
      <c r="K203" s="2"/>
      <c r="L203" s="2"/>
      <c r="M203" s="10">
        <f>(14.95*9)+(2.49*4)</f>
        <v>144.51</v>
      </c>
      <c r="N203" s="10">
        <f t="shared" si="17"/>
        <v>108.38249999999999</v>
      </c>
      <c r="O203" s="2"/>
    </row>
    <row r="204" spans="1:15" ht="18.75">
      <c r="A204" s="25" t="s">
        <v>322</v>
      </c>
      <c r="B204" s="9" t="s">
        <v>476</v>
      </c>
      <c r="C204" s="2" t="s">
        <v>2058</v>
      </c>
      <c r="D204" s="2">
        <v>23</v>
      </c>
      <c r="E204" s="2" t="s">
        <v>2300</v>
      </c>
      <c r="F204" s="1">
        <f t="shared" si="16"/>
        <v>0.5</v>
      </c>
      <c r="G204" s="2" t="s">
        <v>21</v>
      </c>
      <c r="H204" s="2"/>
      <c r="I204" s="2"/>
      <c r="J204" s="2"/>
      <c r="K204" s="2"/>
      <c r="L204" s="2"/>
      <c r="M204" s="10">
        <f>23*21.94</f>
        <v>504.62</v>
      </c>
      <c r="N204" s="10">
        <f t="shared" si="17"/>
        <v>252.31</v>
      </c>
      <c r="O204" s="2"/>
    </row>
    <row r="205" spans="1:15" ht="18.75">
      <c r="A205" s="25" t="s">
        <v>322</v>
      </c>
      <c r="B205" s="9" t="s">
        <v>476</v>
      </c>
      <c r="C205" s="2" t="s">
        <v>2058</v>
      </c>
      <c r="D205" s="2">
        <v>1</v>
      </c>
      <c r="E205" s="2" t="s">
        <v>477</v>
      </c>
      <c r="F205" s="1">
        <f t="shared" si="16"/>
        <v>0.5</v>
      </c>
      <c r="G205" s="2" t="s">
        <v>21</v>
      </c>
      <c r="H205" s="2"/>
      <c r="I205" s="2"/>
      <c r="J205" s="2"/>
      <c r="K205" s="2"/>
      <c r="L205" s="2"/>
      <c r="M205" s="10">
        <v>7.05</v>
      </c>
      <c r="N205" s="10">
        <f t="shared" si="17"/>
        <v>3.5249999999999999</v>
      </c>
      <c r="O205" s="2"/>
    </row>
    <row r="206" spans="1:15" ht="18.75">
      <c r="A206" s="25" t="s">
        <v>322</v>
      </c>
      <c r="B206" s="9" t="s">
        <v>476</v>
      </c>
      <c r="C206" s="2" t="s">
        <v>2058</v>
      </c>
      <c r="D206" s="2">
        <v>2</v>
      </c>
      <c r="E206" s="2" t="s">
        <v>2301</v>
      </c>
      <c r="F206" s="1">
        <f t="shared" si="16"/>
        <v>0.5</v>
      </c>
      <c r="G206" s="2" t="s">
        <v>21</v>
      </c>
      <c r="H206" s="2"/>
      <c r="I206" s="2"/>
      <c r="J206" s="2"/>
      <c r="K206" s="2"/>
      <c r="L206" s="2"/>
      <c r="M206" s="10">
        <f>6*2</f>
        <v>12</v>
      </c>
      <c r="N206" s="10">
        <f t="shared" si="17"/>
        <v>6</v>
      </c>
      <c r="O206" s="2"/>
    </row>
    <row r="207" spans="1:15" ht="18.75">
      <c r="A207" s="25" t="s">
        <v>322</v>
      </c>
      <c r="B207" s="9" t="s">
        <v>476</v>
      </c>
      <c r="C207" s="2" t="s">
        <v>2058</v>
      </c>
      <c r="D207" s="2">
        <v>1</v>
      </c>
      <c r="E207" s="2" t="s">
        <v>478</v>
      </c>
      <c r="F207" s="1">
        <f t="shared" si="16"/>
        <v>0.5</v>
      </c>
      <c r="G207" s="2" t="s">
        <v>21</v>
      </c>
      <c r="H207" s="2"/>
      <c r="I207" s="2"/>
      <c r="J207" s="2"/>
      <c r="K207" s="2"/>
      <c r="L207" s="2"/>
      <c r="M207" s="10">
        <v>16.989999999999998</v>
      </c>
      <c r="N207" s="10">
        <f t="shared" si="17"/>
        <v>8.4949999999999992</v>
      </c>
      <c r="O207" s="2"/>
    </row>
    <row r="208" spans="1:15" ht="18.75">
      <c r="A208" s="25" t="s">
        <v>322</v>
      </c>
      <c r="B208" s="9" t="s">
        <v>476</v>
      </c>
      <c r="C208" s="2" t="s">
        <v>2058</v>
      </c>
      <c r="D208" s="2">
        <v>3</v>
      </c>
      <c r="E208" s="2" t="s">
        <v>2302</v>
      </c>
      <c r="F208" s="1">
        <f t="shared" si="16"/>
        <v>0.5</v>
      </c>
      <c r="G208" s="2" t="s">
        <v>21</v>
      </c>
      <c r="H208" s="2"/>
      <c r="I208" s="2"/>
      <c r="J208" s="2"/>
      <c r="K208" s="2"/>
      <c r="L208" s="2"/>
      <c r="M208" s="10">
        <v>32</v>
      </c>
      <c r="N208" s="10">
        <f t="shared" si="17"/>
        <v>16</v>
      </c>
      <c r="O208" s="2"/>
    </row>
    <row r="209" spans="1:15" ht="18.75">
      <c r="A209" s="25" t="s">
        <v>322</v>
      </c>
      <c r="B209" s="9" t="s">
        <v>476</v>
      </c>
      <c r="C209" s="2" t="s">
        <v>2058</v>
      </c>
      <c r="D209" s="2">
        <v>1</v>
      </c>
      <c r="E209" s="2" t="s">
        <v>479</v>
      </c>
      <c r="F209" s="1">
        <f t="shared" si="16"/>
        <v>0.5</v>
      </c>
      <c r="G209" s="2" t="s">
        <v>21</v>
      </c>
      <c r="H209" s="2"/>
      <c r="I209" s="2"/>
      <c r="J209" s="2"/>
      <c r="K209" s="2"/>
      <c r="L209" s="2"/>
      <c r="M209" s="10">
        <v>20</v>
      </c>
      <c r="N209" s="10">
        <f t="shared" si="17"/>
        <v>10</v>
      </c>
      <c r="O209" s="2"/>
    </row>
    <row r="210" spans="1:15" ht="18.75">
      <c r="A210" s="25" t="s">
        <v>322</v>
      </c>
      <c r="B210" s="9" t="s">
        <v>476</v>
      </c>
      <c r="C210" s="2" t="s">
        <v>2058</v>
      </c>
      <c r="D210" s="2">
        <v>1</v>
      </c>
      <c r="E210" s="2" t="s">
        <v>480</v>
      </c>
      <c r="F210" s="1">
        <f t="shared" si="16"/>
        <v>0.5</v>
      </c>
      <c r="G210" s="2" t="s">
        <v>21</v>
      </c>
      <c r="H210" s="2"/>
      <c r="I210" s="2"/>
      <c r="J210" s="2"/>
      <c r="K210" s="2"/>
      <c r="L210" s="2"/>
      <c r="M210" s="10">
        <v>20</v>
      </c>
      <c r="N210" s="10">
        <f t="shared" si="17"/>
        <v>10</v>
      </c>
      <c r="O210" s="2"/>
    </row>
    <row r="211" spans="1:15" ht="18.75">
      <c r="A211" s="25" t="s">
        <v>322</v>
      </c>
      <c r="B211" s="9" t="s">
        <v>476</v>
      </c>
      <c r="C211" s="2" t="s">
        <v>2058</v>
      </c>
      <c r="D211" s="2">
        <v>1</v>
      </c>
      <c r="E211" s="2" t="s">
        <v>481</v>
      </c>
      <c r="F211" s="1">
        <f t="shared" si="16"/>
        <v>0.5</v>
      </c>
      <c r="G211" s="2" t="s">
        <v>21</v>
      </c>
      <c r="H211" s="2"/>
      <c r="I211" s="2"/>
      <c r="J211" s="2"/>
      <c r="K211" s="2"/>
      <c r="L211" s="2"/>
      <c r="M211" s="10">
        <v>18.7</v>
      </c>
      <c r="N211" s="10">
        <f t="shared" si="17"/>
        <v>9.35</v>
      </c>
      <c r="O211" s="2"/>
    </row>
    <row r="212" spans="1:15" ht="18.75">
      <c r="A212" s="25" t="s">
        <v>322</v>
      </c>
      <c r="B212" s="9" t="s">
        <v>476</v>
      </c>
      <c r="C212" s="2" t="s">
        <v>2058</v>
      </c>
      <c r="D212" s="2">
        <v>1</v>
      </c>
      <c r="E212" s="2" t="s">
        <v>482</v>
      </c>
      <c r="F212" s="1">
        <f t="shared" si="16"/>
        <v>0.5</v>
      </c>
      <c r="G212" s="2" t="s">
        <v>21</v>
      </c>
      <c r="H212" s="2"/>
      <c r="I212" s="2"/>
      <c r="J212" s="2"/>
      <c r="K212" s="2"/>
      <c r="L212" s="2"/>
      <c r="M212" s="10">
        <v>6</v>
      </c>
      <c r="N212" s="10">
        <f t="shared" si="17"/>
        <v>3</v>
      </c>
      <c r="O212" s="2"/>
    </row>
    <row r="213" spans="1:15" ht="18.75">
      <c r="A213" s="25" t="s">
        <v>322</v>
      </c>
      <c r="B213" s="9" t="s">
        <v>476</v>
      </c>
      <c r="C213" s="2" t="s">
        <v>2058</v>
      </c>
      <c r="D213" s="2">
        <v>1</v>
      </c>
      <c r="E213" s="2" t="s">
        <v>483</v>
      </c>
      <c r="F213" s="1">
        <f t="shared" si="16"/>
        <v>0.5</v>
      </c>
      <c r="G213" s="2" t="s">
        <v>21</v>
      </c>
      <c r="H213" s="2"/>
      <c r="I213" s="2"/>
      <c r="J213" s="2"/>
      <c r="K213" s="2"/>
      <c r="L213" s="2"/>
      <c r="M213" s="10">
        <v>8</v>
      </c>
      <c r="N213" s="10">
        <f t="shared" si="17"/>
        <v>4</v>
      </c>
      <c r="O213" s="2"/>
    </row>
    <row r="214" spans="1:15" ht="18.75">
      <c r="A214" s="25" t="s">
        <v>322</v>
      </c>
      <c r="B214" s="9" t="s">
        <v>476</v>
      </c>
      <c r="C214" s="2" t="s">
        <v>2058</v>
      </c>
      <c r="D214" s="2">
        <v>1</v>
      </c>
      <c r="E214" s="2" t="s">
        <v>484</v>
      </c>
      <c r="F214" s="1">
        <f t="shared" si="16"/>
        <v>0.5</v>
      </c>
      <c r="G214" s="2" t="s">
        <v>21</v>
      </c>
      <c r="H214" s="2"/>
      <c r="I214" s="2"/>
      <c r="J214" s="2"/>
      <c r="K214" s="2"/>
      <c r="L214" s="2"/>
      <c r="M214" s="10">
        <v>6</v>
      </c>
      <c r="N214" s="10">
        <f t="shared" si="17"/>
        <v>3</v>
      </c>
      <c r="O214" s="2"/>
    </row>
    <row r="215" spans="1:15" ht="18.75">
      <c r="A215" s="25" t="s">
        <v>322</v>
      </c>
      <c r="B215" s="9" t="s">
        <v>476</v>
      </c>
      <c r="C215" s="2" t="s">
        <v>2058</v>
      </c>
      <c r="D215" s="2">
        <v>4</v>
      </c>
      <c r="E215" s="2" t="s">
        <v>2303</v>
      </c>
      <c r="F215" s="1">
        <f t="shared" si="16"/>
        <v>0.5</v>
      </c>
      <c r="G215" s="2" t="s">
        <v>21</v>
      </c>
      <c r="H215" s="2"/>
      <c r="I215" s="2"/>
      <c r="J215" s="2"/>
      <c r="K215" s="2"/>
      <c r="L215" s="2"/>
      <c r="M215" s="10">
        <v>9</v>
      </c>
      <c r="N215" s="10">
        <f t="shared" si="17"/>
        <v>4.5</v>
      </c>
      <c r="O215" s="2"/>
    </row>
    <row r="216" spans="1:15" ht="18.75">
      <c r="A216" s="25" t="s">
        <v>322</v>
      </c>
      <c r="B216" s="9" t="s">
        <v>485</v>
      </c>
      <c r="C216" s="2" t="s">
        <v>2058</v>
      </c>
      <c r="D216" s="2">
        <v>68</v>
      </c>
      <c r="E216" s="2" t="s">
        <v>2304</v>
      </c>
      <c r="F216" s="1">
        <f t="shared" si="16"/>
        <v>0.5</v>
      </c>
      <c r="G216" s="2" t="s">
        <v>21</v>
      </c>
      <c r="H216" s="2"/>
      <c r="I216" s="2"/>
      <c r="J216" s="2"/>
      <c r="K216" s="2"/>
      <c r="L216" s="2"/>
      <c r="M216" s="10">
        <f>(13.44*12)+(9.47*53)</f>
        <v>663.19</v>
      </c>
      <c r="N216" s="10">
        <f t="shared" si="17"/>
        <v>331.59500000000003</v>
      </c>
      <c r="O216" s="2"/>
    </row>
    <row r="217" spans="1:15" ht="18.75">
      <c r="A217" s="25" t="s">
        <v>322</v>
      </c>
      <c r="B217" s="9" t="s">
        <v>485</v>
      </c>
      <c r="C217" s="2" t="s">
        <v>2058</v>
      </c>
      <c r="D217" s="2">
        <v>6</v>
      </c>
      <c r="E217" s="2" t="s">
        <v>2305</v>
      </c>
      <c r="F217" s="1">
        <f t="shared" ref="F217:F248" si="18">IF(G217="fair",0.5,0)+IF(G217="good",0.75,0)+IF(G217="poor",0.25,0)+IF(G217="like new",0.9,0)+IF(G217="new",1,0)</f>
        <v>0.5</v>
      </c>
      <c r="G217" s="2" t="s">
        <v>21</v>
      </c>
      <c r="H217" s="2"/>
      <c r="I217" s="2"/>
      <c r="J217" s="2"/>
      <c r="K217" s="2"/>
      <c r="L217" s="2"/>
      <c r="M217" s="10">
        <f>(7.99*5)+9.48</f>
        <v>49.430000000000007</v>
      </c>
      <c r="N217" s="10">
        <f t="shared" si="17"/>
        <v>24.715000000000003</v>
      </c>
      <c r="O217" s="2"/>
    </row>
    <row r="218" spans="1:15" ht="18.75">
      <c r="A218" s="25" t="s">
        <v>322</v>
      </c>
      <c r="B218" s="9" t="s">
        <v>485</v>
      </c>
      <c r="C218" s="2" t="s">
        <v>2058</v>
      </c>
      <c r="D218" s="2">
        <v>13</v>
      </c>
      <c r="E218" s="2" t="s">
        <v>2306</v>
      </c>
      <c r="F218" s="1">
        <f t="shared" si="18"/>
        <v>0.5</v>
      </c>
      <c r="G218" s="2" t="s">
        <v>21</v>
      </c>
      <c r="H218" s="2"/>
      <c r="I218" s="2"/>
      <c r="J218" s="2"/>
      <c r="K218" s="2"/>
      <c r="L218" s="2"/>
      <c r="M218" s="10">
        <f>(12*5.79)+9.29+(3*4.79)</f>
        <v>93.140000000000015</v>
      </c>
      <c r="N218" s="10">
        <f t="shared" si="17"/>
        <v>46.570000000000007</v>
      </c>
      <c r="O218" s="2"/>
    </row>
    <row r="219" spans="1:15" ht="18.75">
      <c r="A219" s="25" t="s">
        <v>322</v>
      </c>
      <c r="B219" s="9" t="s">
        <v>485</v>
      </c>
      <c r="C219" s="2" t="s">
        <v>2058</v>
      </c>
      <c r="D219" s="2">
        <v>9</v>
      </c>
      <c r="E219" s="2" t="s">
        <v>2307</v>
      </c>
      <c r="F219" s="1">
        <f t="shared" si="18"/>
        <v>0.5</v>
      </c>
      <c r="G219" s="2" t="s">
        <v>21</v>
      </c>
      <c r="H219" s="2"/>
      <c r="I219" s="2"/>
      <c r="J219" s="2"/>
      <c r="K219" s="2"/>
      <c r="L219" s="2"/>
      <c r="M219" s="10">
        <f>(9*2.7)</f>
        <v>24.3</v>
      </c>
      <c r="N219" s="10">
        <f t="shared" si="17"/>
        <v>12.15</v>
      </c>
      <c r="O219" s="2"/>
    </row>
    <row r="220" spans="1:15" ht="18.75">
      <c r="A220" s="25" t="s">
        <v>322</v>
      </c>
      <c r="B220" s="9" t="s">
        <v>485</v>
      </c>
      <c r="C220" s="2" t="s">
        <v>2058</v>
      </c>
      <c r="D220" s="2">
        <v>15</v>
      </c>
      <c r="E220" s="2" t="s">
        <v>2308</v>
      </c>
      <c r="F220" s="1">
        <f t="shared" si="18"/>
        <v>0.5</v>
      </c>
      <c r="G220" s="2" t="s">
        <v>21</v>
      </c>
      <c r="H220" s="2"/>
      <c r="I220" s="2"/>
      <c r="J220" s="2"/>
      <c r="K220" s="2"/>
      <c r="L220" s="2"/>
      <c r="M220" s="10">
        <f>(7*5.46)+(7*7.29)+10.27</f>
        <v>99.52</v>
      </c>
      <c r="N220" s="10">
        <f t="shared" si="17"/>
        <v>49.76</v>
      </c>
      <c r="O220" s="2"/>
    </row>
    <row r="221" spans="1:15" ht="18.75">
      <c r="A221" s="25" t="s">
        <v>322</v>
      </c>
      <c r="B221" s="9" t="s">
        <v>486</v>
      </c>
      <c r="C221" s="2" t="s">
        <v>2058</v>
      </c>
      <c r="D221" s="2">
        <v>17</v>
      </c>
      <c r="E221" s="2" t="s">
        <v>2309</v>
      </c>
      <c r="F221" s="1">
        <f t="shared" si="18"/>
        <v>0.5</v>
      </c>
      <c r="G221" s="2" t="s">
        <v>21</v>
      </c>
      <c r="H221" s="2"/>
      <c r="I221" s="2"/>
      <c r="J221" s="2"/>
      <c r="K221" s="2"/>
      <c r="L221" s="2"/>
      <c r="M221" s="10">
        <f>(8.5*7)+(9*10.5)+(2*11.48)</f>
        <v>176.96</v>
      </c>
      <c r="N221" s="10">
        <f t="shared" si="17"/>
        <v>88.48</v>
      </c>
      <c r="O221" s="2"/>
    </row>
    <row r="222" spans="1:15" ht="18.75">
      <c r="A222" s="25" t="s">
        <v>322</v>
      </c>
      <c r="B222" s="9" t="s">
        <v>486</v>
      </c>
      <c r="C222" s="2" t="s">
        <v>2058</v>
      </c>
      <c r="D222" s="2">
        <v>17</v>
      </c>
      <c r="E222" s="2" t="s">
        <v>2310</v>
      </c>
      <c r="F222" s="1">
        <f t="shared" si="18"/>
        <v>0.5</v>
      </c>
      <c r="G222" s="2" t="s">
        <v>21</v>
      </c>
      <c r="H222" s="2"/>
      <c r="I222" s="2"/>
      <c r="J222" s="2"/>
      <c r="K222" s="2"/>
      <c r="L222" s="2"/>
      <c r="M222" s="10">
        <f>(16*2.98)+4.99*2</f>
        <v>57.66</v>
      </c>
      <c r="N222" s="10">
        <f t="shared" si="17"/>
        <v>28.83</v>
      </c>
      <c r="O222" s="2"/>
    </row>
    <row r="223" spans="1:15" ht="18.75">
      <c r="A223" s="25" t="s">
        <v>322</v>
      </c>
      <c r="B223" s="9" t="s">
        <v>486</v>
      </c>
      <c r="C223" s="2" t="s">
        <v>2058</v>
      </c>
      <c r="D223" s="2">
        <v>28</v>
      </c>
      <c r="E223" s="2" t="s">
        <v>2311</v>
      </c>
      <c r="F223" s="1">
        <f t="shared" si="18"/>
        <v>0.5</v>
      </c>
      <c r="G223" s="2" t="s">
        <v>21</v>
      </c>
      <c r="H223" s="2"/>
      <c r="I223" s="2"/>
      <c r="J223" s="2"/>
      <c r="K223" s="2"/>
      <c r="L223" s="2"/>
      <c r="M223" s="10">
        <f>28*2.08</f>
        <v>58.24</v>
      </c>
      <c r="N223" s="10">
        <f t="shared" si="17"/>
        <v>29.12</v>
      </c>
      <c r="O223" s="2"/>
    </row>
    <row r="224" spans="1:15" ht="18.75">
      <c r="A224" s="25" t="s">
        <v>322</v>
      </c>
      <c r="B224" s="9" t="s">
        <v>486</v>
      </c>
      <c r="C224" s="2" t="s">
        <v>2058</v>
      </c>
      <c r="D224" s="2">
        <v>2</v>
      </c>
      <c r="E224" s="2" t="s">
        <v>2312</v>
      </c>
      <c r="F224" s="1">
        <f t="shared" si="18"/>
        <v>0.5</v>
      </c>
      <c r="G224" s="2" t="s">
        <v>21</v>
      </c>
      <c r="H224" s="2"/>
      <c r="I224" s="2"/>
      <c r="J224" s="2"/>
      <c r="K224" s="2"/>
      <c r="L224" s="2"/>
      <c r="M224" s="10">
        <f>2.29+3.3</f>
        <v>5.59</v>
      </c>
      <c r="N224" s="10">
        <f t="shared" si="17"/>
        <v>2.7949999999999999</v>
      </c>
      <c r="O224" s="2"/>
    </row>
    <row r="225" spans="1:15" ht="18.75">
      <c r="A225" s="25" t="s">
        <v>322</v>
      </c>
      <c r="B225" s="9" t="s">
        <v>487</v>
      </c>
      <c r="C225" s="2" t="s">
        <v>2058</v>
      </c>
      <c r="D225" s="2">
        <v>2</v>
      </c>
      <c r="E225" s="2" t="s">
        <v>2313</v>
      </c>
      <c r="F225" s="1">
        <f t="shared" si="18"/>
        <v>0.5</v>
      </c>
      <c r="G225" s="2" t="s">
        <v>21</v>
      </c>
      <c r="H225" s="2"/>
      <c r="I225" s="2"/>
      <c r="J225" s="2"/>
      <c r="K225" s="2"/>
      <c r="L225" s="2"/>
      <c r="M225" s="10">
        <f>2*3.17</f>
        <v>6.34</v>
      </c>
      <c r="N225" s="10">
        <f t="shared" si="17"/>
        <v>3.17</v>
      </c>
      <c r="O225" s="2"/>
    </row>
    <row r="226" spans="1:15" ht="18.75">
      <c r="A226" s="25" t="s">
        <v>322</v>
      </c>
      <c r="B226" s="9" t="s">
        <v>487</v>
      </c>
      <c r="C226" s="2" t="s">
        <v>2058</v>
      </c>
      <c r="D226" s="2">
        <v>13</v>
      </c>
      <c r="E226" s="2" t="s">
        <v>2314</v>
      </c>
      <c r="F226" s="1">
        <f t="shared" si="18"/>
        <v>0.5</v>
      </c>
      <c r="G226" s="2" t="s">
        <v>21</v>
      </c>
      <c r="H226" s="2"/>
      <c r="I226" s="2"/>
      <c r="J226" s="2"/>
      <c r="K226" s="2"/>
      <c r="L226" s="2"/>
      <c r="M226" s="10">
        <f>(3.15*5)+(2.99*8)</f>
        <v>39.67</v>
      </c>
      <c r="N226" s="10">
        <f t="shared" si="17"/>
        <v>19.835000000000001</v>
      </c>
      <c r="O226" s="2"/>
    </row>
    <row r="227" spans="1:15" ht="32.25">
      <c r="A227" s="25" t="s">
        <v>322</v>
      </c>
      <c r="B227" s="9" t="s">
        <v>488</v>
      </c>
      <c r="C227" s="2" t="s">
        <v>2058</v>
      </c>
      <c r="D227" s="2">
        <v>7</v>
      </c>
      <c r="E227" s="2" t="s">
        <v>2315</v>
      </c>
      <c r="F227" s="1">
        <f t="shared" si="18"/>
        <v>0.5</v>
      </c>
      <c r="G227" s="2" t="s">
        <v>21</v>
      </c>
      <c r="H227" s="2"/>
      <c r="I227" s="2"/>
      <c r="J227" s="2"/>
      <c r="K227" s="2"/>
      <c r="L227" s="2"/>
      <c r="M227" s="10">
        <f>7*28</f>
        <v>196</v>
      </c>
      <c r="N227" s="10">
        <f t="shared" si="17"/>
        <v>98</v>
      </c>
      <c r="O227" s="2"/>
    </row>
    <row r="228" spans="1:15" ht="32.25">
      <c r="A228" s="25" t="s">
        <v>322</v>
      </c>
      <c r="B228" s="9" t="s">
        <v>488</v>
      </c>
      <c r="C228" s="2" t="s">
        <v>2058</v>
      </c>
      <c r="D228" s="2">
        <v>3</v>
      </c>
      <c r="E228" s="2" t="s">
        <v>2316</v>
      </c>
      <c r="F228" s="1">
        <f t="shared" si="18"/>
        <v>0.5</v>
      </c>
      <c r="G228" s="2" t="s">
        <v>21</v>
      </c>
      <c r="H228" s="2"/>
      <c r="I228" s="2"/>
      <c r="J228" s="2"/>
      <c r="K228" s="2"/>
      <c r="L228" s="2"/>
      <c r="M228" s="10">
        <f>3*27</f>
        <v>81</v>
      </c>
      <c r="N228" s="10">
        <f t="shared" si="17"/>
        <v>40.5</v>
      </c>
      <c r="O228" s="2"/>
    </row>
    <row r="229" spans="1:15" ht="32.25">
      <c r="A229" s="25" t="s">
        <v>322</v>
      </c>
      <c r="B229" s="9" t="s">
        <v>488</v>
      </c>
      <c r="C229" s="2" t="s">
        <v>2058</v>
      </c>
      <c r="D229" s="2">
        <v>1</v>
      </c>
      <c r="E229" s="2" t="s">
        <v>2317</v>
      </c>
      <c r="F229" s="1">
        <f t="shared" si="18"/>
        <v>0.5</v>
      </c>
      <c r="G229" s="2" t="s">
        <v>21</v>
      </c>
      <c r="H229" s="2"/>
      <c r="I229" s="2"/>
      <c r="J229" s="2"/>
      <c r="K229" s="2"/>
      <c r="L229" s="2"/>
      <c r="M229" s="10">
        <f>16.49*1</f>
        <v>16.489999999999998</v>
      </c>
      <c r="N229" s="10">
        <f t="shared" si="17"/>
        <v>8.2449999999999992</v>
      </c>
      <c r="O229" s="2"/>
    </row>
    <row r="230" spans="1:15" ht="32.25">
      <c r="A230" s="25" t="s">
        <v>322</v>
      </c>
      <c r="B230" s="9" t="s">
        <v>488</v>
      </c>
      <c r="C230" s="2" t="s">
        <v>2058</v>
      </c>
      <c r="D230" s="2">
        <v>20</v>
      </c>
      <c r="E230" s="2" t="s">
        <v>2318</v>
      </c>
      <c r="F230" s="1">
        <f t="shared" si="18"/>
        <v>0.5</v>
      </c>
      <c r="G230" s="2" t="s">
        <v>21</v>
      </c>
      <c r="H230" s="2"/>
      <c r="I230" s="2"/>
      <c r="J230" s="2"/>
      <c r="K230" s="2"/>
      <c r="L230" s="2"/>
      <c r="M230" s="10">
        <f>4*37.49</f>
        <v>149.96</v>
      </c>
      <c r="N230" s="10">
        <f t="shared" si="17"/>
        <v>74.98</v>
      </c>
      <c r="O230" s="2"/>
    </row>
    <row r="231" spans="1:15" ht="32.25">
      <c r="A231" s="25" t="s">
        <v>322</v>
      </c>
      <c r="B231" s="9" t="s">
        <v>488</v>
      </c>
      <c r="C231" s="2" t="s">
        <v>2058</v>
      </c>
      <c r="D231" s="2">
        <v>1</v>
      </c>
      <c r="E231" s="2" t="s">
        <v>2319</v>
      </c>
      <c r="F231" s="1">
        <f t="shared" si="18"/>
        <v>0.5</v>
      </c>
      <c r="G231" s="2" t="s">
        <v>21</v>
      </c>
      <c r="H231" s="2"/>
      <c r="I231" s="2"/>
      <c r="J231" s="2"/>
      <c r="K231" s="2"/>
      <c r="L231" s="2"/>
      <c r="M231" s="10">
        <v>10.75</v>
      </c>
      <c r="N231" s="10">
        <f t="shared" ref="N231:N262" si="19">F231*M231</f>
        <v>5.375</v>
      </c>
      <c r="O231" s="2"/>
    </row>
    <row r="232" spans="1:15" ht="32.25">
      <c r="A232" s="25" t="s">
        <v>322</v>
      </c>
      <c r="B232" s="9" t="s">
        <v>488</v>
      </c>
      <c r="C232" s="2" t="s">
        <v>2058</v>
      </c>
      <c r="D232" s="2">
        <v>22</v>
      </c>
      <c r="E232" s="2" t="s">
        <v>2320</v>
      </c>
      <c r="F232" s="1">
        <f t="shared" si="18"/>
        <v>0.5</v>
      </c>
      <c r="G232" s="2" t="s">
        <v>21</v>
      </c>
      <c r="H232" s="2"/>
      <c r="I232" s="2"/>
      <c r="J232" s="2"/>
      <c r="K232" s="2"/>
      <c r="L232" s="2"/>
      <c r="M232" s="10">
        <f>7.3*22</f>
        <v>160.6</v>
      </c>
      <c r="N232" s="10">
        <f t="shared" si="19"/>
        <v>80.3</v>
      </c>
      <c r="O232" s="2"/>
    </row>
    <row r="233" spans="1:15" ht="32.25">
      <c r="A233" s="25" t="s">
        <v>322</v>
      </c>
      <c r="B233" s="9" t="s">
        <v>488</v>
      </c>
      <c r="C233" s="2" t="s">
        <v>2058</v>
      </c>
      <c r="D233" s="2">
        <v>18</v>
      </c>
      <c r="E233" s="2" t="s">
        <v>2321</v>
      </c>
      <c r="F233" s="1">
        <f t="shared" si="18"/>
        <v>0.5</v>
      </c>
      <c r="G233" s="2" t="s">
        <v>21</v>
      </c>
      <c r="H233" s="2"/>
      <c r="I233" s="2"/>
      <c r="J233" s="2"/>
      <c r="K233" s="2"/>
      <c r="L233" s="2"/>
      <c r="M233" s="10">
        <f>18*5</f>
        <v>90</v>
      </c>
      <c r="N233" s="10">
        <f t="shared" si="19"/>
        <v>45</v>
      </c>
      <c r="O233" s="2"/>
    </row>
    <row r="234" spans="1:15" ht="32.25">
      <c r="A234" s="25" t="s">
        <v>322</v>
      </c>
      <c r="B234" s="9" t="s">
        <v>488</v>
      </c>
      <c r="C234" s="2" t="s">
        <v>2058</v>
      </c>
      <c r="D234" s="2">
        <v>6</v>
      </c>
      <c r="E234" s="2" t="s">
        <v>2322</v>
      </c>
      <c r="F234" s="1">
        <f t="shared" si="18"/>
        <v>0.5</v>
      </c>
      <c r="G234" s="2" t="s">
        <v>21</v>
      </c>
      <c r="H234" s="2"/>
      <c r="I234" s="2"/>
      <c r="J234" s="2"/>
      <c r="K234" s="2"/>
      <c r="L234" s="2"/>
      <c r="M234" s="10">
        <f>6*27</f>
        <v>162</v>
      </c>
      <c r="N234" s="10">
        <f t="shared" si="19"/>
        <v>81</v>
      </c>
      <c r="O234" s="2"/>
    </row>
    <row r="235" spans="1:15">
      <c r="B235" s="34"/>
    </row>
    <row r="236" spans="1:15" ht="54" customHeight="1">
      <c r="A236" s="18" t="s">
        <v>274</v>
      </c>
      <c r="B236" s="9" t="s">
        <v>275</v>
      </c>
      <c r="C236" s="2" t="s">
        <v>2161</v>
      </c>
      <c r="D236" s="2">
        <v>1</v>
      </c>
      <c r="E236" s="2" t="s">
        <v>276</v>
      </c>
      <c r="F236" s="1">
        <f t="shared" ref="F236:F254" si="20">IF(G236="fair",0.5,0)+IF(G236="good",0.75,0)+IF(G236="poor",0.25,0)+IF(G236="like new",0.9,0)+IF(G236="new",1,0)</f>
        <v>0.75</v>
      </c>
      <c r="G236" s="2" t="s">
        <v>16</v>
      </c>
      <c r="H236" s="2" t="s">
        <v>277</v>
      </c>
      <c r="I236" s="2"/>
      <c r="J236" s="2"/>
      <c r="K236" s="2">
        <v>75</v>
      </c>
      <c r="L236" s="2"/>
      <c r="M236" s="10">
        <v>300</v>
      </c>
      <c r="N236" s="10">
        <f t="shared" ref="N236:N254" si="21">F236*M236</f>
        <v>225</v>
      </c>
      <c r="O236" s="2"/>
    </row>
    <row r="237" spans="1:15" ht="18" customHeight="1">
      <c r="A237" s="18" t="s">
        <v>274</v>
      </c>
      <c r="B237" s="9" t="s">
        <v>278</v>
      </c>
      <c r="C237" s="2" t="s">
        <v>2161</v>
      </c>
      <c r="D237" s="2">
        <v>1</v>
      </c>
      <c r="E237" s="2"/>
      <c r="F237" s="1">
        <f t="shared" si="20"/>
        <v>0.5</v>
      </c>
      <c r="G237" s="2" t="s">
        <v>21</v>
      </c>
      <c r="H237" s="2"/>
      <c r="I237" s="2"/>
      <c r="J237" s="2"/>
      <c r="K237" s="2">
        <v>96</v>
      </c>
      <c r="L237" s="2">
        <v>47</v>
      </c>
      <c r="M237" s="10">
        <v>200</v>
      </c>
      <c r="N237" s="10">
        <f t="shared" si="21"/>
        <v>100</v>
      </c>
      <c r="O237" s="2"/>
    </row>
    <row r="238" spans="1:15" ht="18" customHeight="1">
      <c r="A238" s="18" t="s">
        <v>274</v>
      </c>
      <c r="B238" s="9" t="s">
        <v>2098</v>
      </c>
      <c r="C238" s="2" t="s">
        <v>2161</v>
      </c>
      <c r="D238" s="2">
        <v>2</v>
      </c>
      <c r="E238" s="2" t="s">
        <v>279</v>
      </c>
      <c r="F238" s="1">
        <f t="shared" si="20"/>
        <v>0.5</v>
      </c>
      <c r="G238" s="2" t="s">
        <v>21</v>
      </c>
      <c r="H238" s="2"/>
      <c r="I238" s="2"/>
      <c r="J238" s="2"/>
      <c r="K238" s="2"/>
      <c r="L238" s="2"/>
      <c r="M238" s="10">
        <f>2*200</f>
        <v>400</v>
      </c>
      <c r="N238" s="10">
        <f t="shared" si="21"/>
        <v>200</v>
      </c>
      <c r="O238" s="2"/>
    </row>
    <row r="239" spans="1:15" ht="18" customHeight="1">
      <c r="A239" s="18" t="s">
        <v>274</v>
      </c>
      <c r="B239" s="9" t="s">
        <v>280</v>
      </c>
      <c r="C239" s="2" t="s">
        <v>2161</v>
      </c>
      <c r="D239" s="2">
        <v>3</v>
      </c>
      <c r="E239" s="2" t="s">
        <v>281</v>
      </c>
      <c r="F239" s="1">
        <f t="shared" si="20"/>
        <v>0.5</v>
      </c>
      <c r="G239" s="2" t="s">
        <v>29</v>
      </c>
      <c r="H239" s="2"/>
      <c r="I239" s="2"/>
      <c r="J239" s="2"/>
      <c r="K239" s="2">
        <v>70</v>
      </c>
      <c r="L239" s="2">
        <v>17</v>
      </c>
      <c r="M239" s="10">
        <f>90*3</f>
        <v>270</v>
      </c>
      <c r="N239" s="10">
        <f t="shared" si="21"/>
        <v>135</v>
      </c>
      <c r="O239" s="2">
        <v>2017</v>
      </c>
    </row>
    <row r="240" spans="1:15" ht="31.5">
      <c r="A240" s="18" t="s">
        <v>274</v>
      </c>
      <c r="B240" s="9" t="s">
        <v>282</v>
      </c>
      <c r="C240" s="2" t="s">
        <v>2161</v>
      </c>
      <c r="D240" s="2">
        <v>10</v>
      </c>
      <c r="E240" s="2" t="s">
        <v>283</v>
      </c>
      <c r="F240" s="1">
        <f t="shared" si="20"/>
        <v>0.5</v>
      </c>
      <c r="G240" s="2" t="s">
        <v>21</v>
      </c>
      <c r="H240" s="2"/>
      <c r="I240" s="2"/>
      <c r="J240" s="2"/>
      <c r="K240" s="2">
        <v>72</v>
      </c>
      <c r="L240" s="2">
        <v>23</v>
      </c>
      <c r="M240" s="10">
        <f>128*9</f>
        <v>1152</v>
      </c>
      <c r="N240" s="10">
        <f t="shared" si="21"/>
        <v>576</v>
      </c>
      <c r="O240" s="2"/>
    </row>
    <row r="241" spans="1:15" ht="31.5">
      <c r="A241" s="18" t="s">
        <v>274</v>
      </c>
      <c r="B241" s="9" t="s">
        <v>284</v>
      </c>
      <c r="C241" s="2" t="s">
        <v>2161</v>
      </c>
      <c r="D241" s="2">
        <v>1</v>
      </c>
      <c r="E241" s="2" t="s">
        <v>285</v>
      </c>
      <c r="F241" s="1">
        <f t="shared" si="20"/>
        <v>0.75</v>
      </c>
      <c r="G241" s="2" t="s">
        <v>16</v>
      </c>
      <c r="H241" s="2" t="s">
        <v>286</v>
      </c>
      <c r="I241" s="2" t="s">
        <v>287</v>
      </c>
      <c r="J241" s="2"/>
      <c r="K241" s="2">
        <v>41</v>
      </c>
      <c r="L241" s="2">
        <v>12.5</v>
      </c>
      <c r="M241" s="10">
        <v>200</v>
      </c>
      <c r="N241" s="10">
        <f t="shared" si="21"/>
        <v>150</v>
      </c>
      <c r="O241" s="2">
        <v>2017</v>
      </c>
    </row>
    <row r="242" spans="1:15" ht="31.5">
      <c r="A242" s="18" t="s">
        <v>274</v>
      </c>
      <c r="B242" s="9" t="s">
        <v>288</v>
      </c>
      <c r="C242" s="2" t="s">
        <v>2161</v>
      </c>
      <c r="D242" s="2">
        <v>1</v>
      </c>
      <c r="E242" s="2" t="s">
        <v>289</v>
      </c>
      <c r="F242" s="1">
        <f t="shared" si="20"/>
        <v>0.75</v>
      </c>
      <c r="G242" s="2" t="s">
        <v>16</v>
      </c>
      <c r="H242" s="2" t="s">
        <v>290</v>
      </c>
      <c r="I242" s="2" t="s">
        <v>291</v>
      </c>
      <c r="J242" s="2"/>
      <c r="K242" s="2">
        <v>67</v>
      </c>
      <c r="L242" s="2">
        <v>31</v>
      </c>
      <c r="M242" s="10">
        <v>130</v>
      </c>
      <c r="N242" s="10">
        <f t="shared" si="21"/>
        <v>97.5</v>
      </c>
      <c r="O242" s="2">
        <v>2017</v>
      </c>
    </row>
    <row r="243" spans="1:15" ht="31.5">
      <c r="A243" s="18" t="s">
        <v>274</v>
      </c>
      <c r="B243" s="9" t="s">
        <v>292</v>
      </c>
      <c r="C243" s="2" t="s">
        <v>2161</v>
      </c>
      <c r="D243" s="2">
        <v>1</v>
      </c>
      <c r="E243" s="2" t="s">
        <v>293</v>
      </c>
      <c r="F243" s="1">
        <f t="shared" si="20"/>
        <v>0.75</v>
      </c>
      <c r="G243" s="2" t="s">
        <v>16</v>
      </c>
      <c r="H243" s="2"/>
      <c r="I243" s="2"/>
      <c r="J243" s="2"/>
      <c r="K243" s="2"/>
      <c r="L243" s="2"/>
      <c r="M243" s="10">
        <f>20*2</f>
        <v>40</v>
      </c>
      <c r="N243" s="10">
        <f t="shared" si="21"/>
        <v>30</v>
      </c>
      <c r="O243" s="2">
        <v>2016</v>
      </c>
    </row>
    <row r="244" spans="1:15" ht="31.5">
      <c r="A244" s="18" t="s">
        <v>274</v>
      </c>
      <c r="B244" s="9" t="s">
        <v>296</v>
      </c>
      <c r="C244" s="2" t="s">
        <v>2058</v>
      </c>
      <c r="D244" s="2">
        <v>1</v>
      </c>
      <c r="E244" s="2" t="s">
        <v>297</v>
      </c>
      <c r="F244" s="1">
        <f t="shared" si="20"/>
        <v>0.75</v>
      </c>
      <c r="G244" s="2" t="s">
        <v>16</v>
      </c>
      <c r="H244" s="2" t="s">
        <v>298</v>
      </c>
      <c r="I244" s="2" t="s">
        <v>299</v>
      </c>
      <c r="J244" s="2"/>
      <c r="K244" s="2"/>
      <c r="L244" s="2"/>
      <c r="M244" s="10">
        <v>35</v>
      </c>
      <c r="N244" s="10">
        <f t="shared" si="21"/>
        <v>26.25</v>
      </c>
      <c r="O244" s="2">
        <v>2016</v>
      </c>
    </row>
    <row r="245" spans="1:15" ht="31.5">
      <c r="A245" s="18" t="s">
        <v>274</v>
      </c>
      <c r="B245" s="9" t="s">
        <v>2429</v>
      </c>
      <c r="C245" s="2" t="s">
        <v>2057</v>
      </c>
      <c r="D245" s="2">
        <v>1</v>
      </c>
      <c r="E245" s="2"/>
      <c r="F245" s="1">
        <f t="shared" si="20"/>
        <v>0.75</v>
      </c>
      <c r="G245" s="2" t="s">
        <v>17</v>
      </c>
      <c r="H245" s="2" t="s">
        <v>300</v>
      </c>
      <c r="I245" s="2" t="s">
        <v>301</v>
      </c>
      <c r="J245" s="2">
        <v>12028838722</v>
      </c>
      <c r="K245" s="2"/>
      <c r="L245" s="2"/>
      <c r="M245" s="10">
        <v>300</v>
      </c>
      <c r="N245" s="10">
        <f t="shared" si="21"/>
        <v>225</v>
      </c>
      <c r="O245" s="2">
        <v>2012</v>
      </c>
    </row>
    <row r="246" spans="1:15" ht="31.5">
      <c r="A246" s="18" t="s">
        <v>274</v>
      </c>
      <c r="B246" s="9" t="s">
        <v>302</v>
      </c>
      <c r="C246" s="2" t="s">
        <v>2161</v>
      </c>
      <c r="D246" s="2">
        <v>1</v>
      </c>
      <c r="E246" s="2" t="s">
        <v>2323</v>
      </c>
      <c r="F246" s="1">
        <f t="shared" si="20"/>
        <v>0.75</v>
      </c>
      <c r="G246" s="2" t="s">
        <v>17</v>
      </c>
      <c r="H246" s="2"/>
      <c r="I246" s="2"/>
      <c r="J246" s="2"/>
      <c r="K246" s="2"/>
      <c r="L246" s="2"/>
      <c r="M246" s="10">
        <f>100*1</f>
        <v>100</v>
      </c>
      <c r="N246" s="10">
        <f t="shared" si="21"/>
        <v>75</v>
      </c>
      <c r="O246" s="2">
        <v>2018</v>
      </c>
    </row>
    <row r="247" spans="1:15" ht="31.5">
      <c r="A247" s="18" t="s">
        <v>274</v>
      </c>
      <c r="B247" s="9" t="s">
        <v>134</v>
      </c>
      <c r="C247" s="2" t="s">
        <v>2057</v>
      </c>
      <c r="D247" s="2">
        <v>1</v>
      </c>
      <c r="E247" s="2" t="s">
        <v>75</v>
      </c>
      <c r="F247" s="1">
        <f t="shared" si="20"/>
        <v>0.75</v>
      </c>
      <c r="G247" s="2" t="s">
        <v>17</v>
      </c>
      <c r="H247" s="2"/>
      <c r="I247" s="2"/>
      <c r="J247" s="2"/>
      <c r="K247" s="2"/>
      <c r="L247" s="2"/>
      <c r="M247" s="10">
        <v>70</v>
      </c>
      <c r="N247" s="10">
        <f t="shared" si="21"/>
        <v>52.5</v>
      </c>
      <c r="O247" s="2"/>
    </row>
    <row r="248" spans="1:15" ht="31.5">
      <c r="A248" s="18" t="s">
        <v>274</v>
      </c>
      <c r="B248" s="9" t="s">
        <v>132</v>
      </c>
      <c r="C248" s="2" t="s">
        <v>2161</v>
      </c>
      <c r="D248" s="2" t="s">
        <v>303</v>
      </c>
      <c r="E248" s="2" t="s">
        <v>304</v>
      </c>
      <c r="F248" s="1">
        <f t="shared" si="20"/>
        <v>0.75</v>
      </c>
      <c r="G248" s="2" t="s">
        <v>17</v>
      </c>
      <c r="H248" s="2"/>
      <c r="I248" s="2"/>
      <c r="J248" s="2"/>
      <c r="K248" s="2"/>
      <c r="L248" s="2"/>
      <c r="M248" s="10">
        <f>40*2</f>
        <v>80</v>
      </c>
      <c r="N248" s="10">
        <f t="shared" si="21"/>
        <v>60</v>
      </c>
      <c r="O248" s="2"/>
    </row>
    <row r="249" spans="1:15" ht="31.5">
      <c r="A249" s="18" t="s">
        <v>274</v>
      </c>
      <c r="B249" s="9" t="s">
        <v>518</v>
      </c>
      <c r="C249" s="2" t="s">
        <v>2161</v>
      </c>
      <c r="D249" s="2">
        <v>1</v>
      </c>
      <c r="E249" s="2" t="s">
        <v>519</v>
      </c>
      <c r="F249" s="1">
        <f t="shared" si="20"/>
        <v>0.5</v>
      </c>
      <c r="G249" s="2" t="s">
        <v>21</v>
      </c>
      <c r="H249" s="2"/>
      <c r="I249" s="2"/>
      <c r="J249" s="2"/>
      <c r="K249" s="2">
        <v>33</v>
      </c>
      <c r="L249" s="2">
        <v>13</v>
      </c>
      <c r="M249" s="10">
        <v>130</v>
      </c>
      <c r="N249" s="10">
        <f t="shared" si="21"/>
        <v>65</v>
      </c>
      <c r="O249" s="2"/>
    </row>
    <row r="250" spans="1:15" ht="42.75" customHeight="1">
      <c r="A250" s="18" t="s">
        <v>274</v>
      </c>
      <c r="B250" s="9" t="s">
        <v>520</v>
      </c>
      <c r="C250" s="2" t="s">
        <v>2161</v>
      </c>
      <c r="D250" s="2">
        <v>1</v>
      </c>
      <c r="E250" s="2" t="s">
        <v>521</v>
      </c>
      <c r="F250" s="1">
        <f t="shared" si="20"/>
        <v>0.5</v>
      </c>
      <c r="G250" s="2" t="s">
        <v>21</v>
      </c>
      <c r="H250" s="2" t="s">
        <v>522</v>
      </c>
      <c r="I250" s="2"/>
      <c r="J250" s="2"/>
      <c r="K250" s="2" t="s">
        <v>523</v>
      </c>
      <c r="L250" s="2"/>
      <c r="M250" s="10">
        <v>40</v>
      </c>
      <c r="N250" s="10">
        <f t="shared" si="21"/>
        <v>20</v>
      </c>
      <c r="O250" s="2">
        <v>2017</v>
      </c>
    </row>
    <row r="251" spans="1:15" ht="31.5">
      <c r="A251" s="18" t="s">
        <v>274</v>
      </c>
      <c r="B251" s="9" t="s">
        <v>307</v>
      </c>
      <c r="C251" s="2" t="s">
        <v>2161</v>
      </c>
      <c r="D251" s="2">
        <v>1</v>
      </c>
      <c r="E251" s="2"/>
      <c r="F251" s="1">
        <f t="shared" si="20"/>
        <v>0.75</v>
      </c>
      <c r="G251" s="2" t="s">
        <v>17</v>
      </c>
      <c r="H251" s="2"/>
      <c r="I251" s="2"/>
      <c r="J251" s="2"/>
      <c r="K251" s="2"/>
      <c r="L251" s="2"/>
      <c r="M251" s="10">
        <v>16.989999999999998</v>
      </c>
      <c r="N251" s="10">
        <f t="shared" si="21"/>
        <v>12.7425</v>
      </c>
      <c r="O251" s="2"/>
    </row>
    <row r="252" spans="1:15" s="23" customFormat="1" ht="42" customHeight="1">
      <c r="A252" s="18" t="s">
        <v>274</v>
      </c>
      <c r="B252" s="9" t="s">
        <v>320</v>
      </c>
      <c r="C252" s="36" t="s">
        <v>2161</v>
      </c>
      <c r="D252" s="21">
        <v>1</v>
      </c>
      <c r="E252" s="21"/>
      <c r="F252" s="1">
        <f t="shared" si="20"/>
        <v>0.75</v>
      </c>
      <c r="G252" s="21" t="s">
        <v>17</v>
      </c>
      <c r="H252" s="21"/>
      <c r="I252" s="21"/>
      <c r="J252" s="21"/>
      <c r="K252" s="21"/>
      <c r="L252" s="21"/>
      <c r="M252" s="22">
        <v>19.989999999999998</v>
      </c>
      <c r="N252" s="10">
        <f t="shared" si="21"/>
        <v>14.9925</v>
      </c>
      <c r="O252" s="21"/>
    </row>
    <row r="253" spans="1:15" ht="31.5">
      <c r="A253" s="18" t="s">
        <v>274</v>
      </c>
      <c r="B253" s="9" t="s">
        <v>308</v>
      </c>
      <c r="C253" s="2" t="s">
        <v>2161</v>
      </c>
      <c r="D253" s="2">
        <v>2</v>
      </c>
      <c r="E253" s="2" t="s">
        <v>309</v>
      </c>
      <c r="F253" s="1">
        <f t="shared" si="20"/>
        <v>0.25</v>
      </c>
      <c r="G253" s="2" t="s">
        <v>143</v>
      </c>
      <c r="H253" s="2"/>
      <c r="I253" s="2"/>
      <c r="J253" s="2"/>
      <c r="K253" s="2"/>
      <c r="L253" s="2"/>
      <c r="M253" s="10">
        <f>5.99*2</f>
        <v>11.98</v>
      </c>
      <c r="N253" s="10">
        <f t="shared" si="21"/>
        <v>2.9950000000000001</v>
      </c>
      <c r="O253" s="2"/>
    </row>
    <row r="254" spans="1:15" ht="31.5">
      <c r="A254" s="18" t="s">
        <v>274</v>
      </c>
      <c r="B254" s="9" t="s">
        <v>573</v>
      </c>
      <c r="C254" s="2" t="s">
        <v>2161</v>
      </c>
      <c r="D254" s="2">
        <v>3</v>
      </c>
      <c r="E254" s="2"/>
      <c r="F254" s="1">
        <f t="shared" si="20"/>
        <v>0.5</v>
      </c>
      <c r="G254" s="2" t="s">
        <v>21</v>
      </c>
      <c r="H254" s="2"/>
      <c r="I254" s="2"/>
      <c r="J254" s="2"/>
      <c r="K254" s="2"/>
      <c r="L254" s="2"/>
      <c r="M254" s="10">
        <v>18</v>
      </c>
      <c r="N254" s="10">
        <f t="shared" si="21"/>
        <v>9</v>
      </c>
      <c r="O254" s="2"/>
    </row>
    <row r="256" spans="1:15">
      <c r="A256" s="11" t="s">
        <v>537</v>
      </c>
    </row>
    <row r="257" spans="1:17" ht="18" customHeight="1">
      <c r="A257" s="8" t="s">
        <v>576</v>
      </c>
      <c r="B257" s="37" t="s">
        <v>556</v>
      </c>
      <c r="C257" s="13" t="s">
        <v>2161</v>
      </c>
      <c r="D257" s="2">
        <v>1</v>
      </c>
      <c r="E257" s="14" t="s">
        <v>557</v>
      </c>
      <c r="F257" s="1">
        <f t="shared" ref="F257:F288" si="22">IF(G257="fair",0.5,0)+IF(G257="good",0.75,0)+IF(G257="poor",0.25,0)+IF(G257="like new",0.9,0)+IF(G257="new",1,0)</f>
        <v>0.25</v>
      </c>
      <c r="G257" s="2" t="s">
        <v>143</v>
      </c>
      <c r="H257" s="2"/>
      <c r="I257" s="2"/>
      <c r="J257" s="2"/>
      <c r="K257" s="2">
        <v>79</v>
      </c>
      <c r="L257" s="2">
        <v>55</v>
      </c>
      <c r="M257" s="10">
        <v>400</v>
      </c>
      <c r="N257" s="10">
        <f t="shared" ref="N257:N279" si="23">F257*M257</f>
        <v>100</v>
      </c>
      <c r="O257" s="2"/>
    </row>
    <row r="258" spans="1:17" ht="18" customHeight="1">
      <c r="A258" s="8" t="s">
        <v>576</v>
      </c>
      <c r="B258" s="37" t="s">
        <v>558</v>
      </c>
      <c r="C258" s="13" t="s">
        <v>2161</v>
      </c>
      <c r="D258" s="2">
        <v>1</v>
      </c>
      <c r="E258" s="14" t="s">
        <v>559</v>
      </c>
      <c r="F258" s="1">
        <f t="shared" si="22"/>
        <v>0.25</v>
      </c>
      <c r="G258" s="2" t="s">
        <v>143</v>
      </c>
      <c r="H258" s="2"/>
      <c r="I258" s="2"/>
      <c r="J258" s="2"/>
      <c r="K258" s="2">
        <v>79</v>
      </c>
      <c r="L258" s="2">
        <v>55</v>
      </c>
      <c r="M258" s="10">
        <v>60</v>
      </c>
      <c r="N258" s="10">
        <f t="shared" si="23"/>
        <v>15</v>
      </c>
      <c r="O258" s="2"/>
    </row>
    <row r="259" spans="1:17" ht="18" customHeight="1">
      <c r="A259" s="8" t="s">
        <v>576</v>
      </c>
      <c r="B259" s="37" t="s">
        <v>560</v>
      </c>
      <c r="C259" s="13" t="s">
        <v>2161</v>
      </c>
      <c r="D259" s="2">
        <v>1</v>
      </c>
      <c r="E259" s="14" t="s">
        <v>561</v>
      </c>
      <c r="F259" s="1">
        <f t="shared" si="22"/>
        <v>0.5</v>
      </c>
      <c r="G259" s="2" t="s">
        <v>21</v>
      </c>
      <c r="H259" s="2" t="s">
        <v>562</v>
      </c>
      <c r="I259" s="2"/>
      <c r="J259" s="2"/>
      <c r="K259" s="2"/>
      <c r="L259" s="2"/>
      <c r="M259" s="10">
        <v>15</v>
      </c>
      <c r="N259" s="10">
        <f t="shared" si="23"/>
        <v>7.5</v>
      </c>
      <c r="O259" s="2">
        <v>2015</v>
      </c>
    </row>
    <row r="260" spans="1:17" ht="58.5" customHeight="1">
      <c r="A260" s="8" t="s">
        <v>576</v>
      </c>
      <c r="B260" s="37" t="s">
        <v>564</v>
      </c>
      <c r="C260" s="13" t="s">
        <v>2161</v>
      </c>
      <c r="D260" s="2">
        <v>1</v>
      </c>
      <c r="E260" s="75" t="s">
        <v>2167</v>
      </c>
      <c r="F260" s="1">
        <f t="shared" si="22"/>
        <v>0.5</v>
      </c>
      <c r="G260" s="2" t="s">
        <v>21</v>
      </c>
      <c r="H260" s="2"/>
      <c r="I260" s="2"/>
      <c r="J260" s="2"/>
      <c r="K260" s="2" t="s">
        <v>565</v>
      </c>
      <c r="L260" s="2" t="s">
        <v>566</v>
      </c>
      <c r="M260" s="10">
        <v>129</v>
      </c>
      <c r="N260" s="10">
        <f t="shared" si="23"/>
        <v>64.5</v>
      </c>
      <c r="O260" s="2">
        <v>2017</v>
      </c>
    </row>
    <row r="261" spans="1:17" ht="18.75">
      <c r="A261" s="8" t="s">
        <v>576</v>
      </c>
      <c r="B261" s="37" t="s">
        <v>134</v>
      </c>
      <c r="C261" s="13" t="s">
        <v>2057</v>
      </c>
      <c r="D261" s="2">
        <v>1</v>
      </c>
      <c r="E261" s="14"/>
      <c r="F261" s="1">
        <f t="shared" si="22"/>
        <v>0.75</v>
      </c>
      <c r="G261" s="2" t="s">
        <v>17</v>
      </c>
      <c r="H261" s="30"/>
      <c r="I261" s="30"/>
      <c r="J261" s="30"/>
      <c r="K261" s="30"/>
      <c r="L261" s="30"/>
      <c r="M261" s="31">
        <v>70</v>
      </c>
      <c r="N261" s="10">
        <f t="shared" si="23"/>
        <v>52.5</v>
      </c>
      <c r="O261" s="30"/>
    </row>
    <row r="262" spans="1:17" ht="18.75">
      <c r="A262" s="8" t="s">
        <v>576</v>
      </c>
      <c r="B262" s="37" t="s">
        <v>567</v>
      </c>
      <c r="C262" s="13" t="s">
        <v>2161</v>
      </c>
      <c r="D262" s="2">
        <v>1</v>
      </c>
      <c r="E262" s="14"/>
      <c r="F262" s="1">
        <f t="shared" si="22"/>
        <v>0.75</v>
      </c>
      <c r="G262" s="2" t="s">
        <v>17</v>
      </c>
      <c r="H262" s="2"/>
      <c r="I262" s="2"/>
      <c r="J262" s="2"/>
      <c r="K262" s="2"/>
      <c r="L262" s="2"/>
      <c r="M262" s="10"/>
      <c r="N262" s="10">
        <f t="shared" si="23"/>
        <v>0</v>
      </c>
      <c r="O262" s="2"/>
    </row>
    <row r="263" spans="1:17" ht="18.75">
      <c r="A263" s="8" t="s">
        <v>576</v>
      </c>
      <c r="B263" s="37" t="s">
        <v>217</v>
      </c>
      <c r="C263" s="13" t="s">
        <v>2161</v>
      </c>
      <c r="D263" s="2">
        <v>1</v>
      </c>
      <c r="E263" s="14" t="s">
        <v>561</v>
      </c>
      <c r="F263" s="1">
        <f t="shared" si="22"/>
        <v>0.75</v>
      </c>
      <c r="G263" s="2" t="s">
        <v>17</v>
      </c>
      <c r="H263" s="2"/>
      <c r="I263" s="2"/>
      <c r="J263" s="2"/>
      <c r="K263" s="2"/>
      <c r="L263" s="2"/>
      <c r="M263" s="10">
        <v>15</v>
      </c>
      <c r="N263" s="10">
        <f t="shared" si="23"/>
        <v>11.25</v>
      </c>
      <c r="O263" s="2"/>
    </row>
    <row r="264" spans="1:17" ht="20.25" customHeight="1">
      <c r="A264" s="8" t="s">
        <v>576</v>
      </c>
      <c r="B264" s="37" t="s">
        <v>568</v>
      </c>
      <c r="C264" s="13" t="s">
        <v>2161</v>
      </c>
      <c r="D264" s="2">
        <v>1</v>
      </c>
      <c r="E264" s="14"/>
      <c r="F264" s="1">
        <f t="shared" si="22"/>
        <v>0.5</v>
      </c>
      <c r="G264" s="2" t="s">
        <v>21</v>
      </c>
      <c r="H264" s="2"/>
      <c r="I264" s="2"/>
      <c r="J264" s="2"/>
      <c r="K264" s="2"/>
      <c r="L264" s="2"/>
      <c r="M264" s="10"/>
      <c r="N264" s="10">
        <f t="shared" si="23"/>
        <v>0</v>
      </c>
      <c r="O264" s="2"/>
    </row>
    <row r="265" spans="1:17" ht="18.75">
      <c r="A265" s="8" t="s">
        <v>576</v>
      </c>
      <c r="B265" s="37" t="s">
        <v>569</v>
      </c>
      <c r="C265" s="13" t="s">
        <v>2161</v>
      </c>
      <c r="D265" s="2">
        <v>1</v>
      </c>
      <c r="F265" s="1">
        <f t="shared" si="22"/>
        <v>0.75</v>
      </c>
      <c r="G265" s="2" t="s">
        <v>17</v>
      </c>
      <c r="H265" s="2"/>
      <c r="I265" s="2"/>
      <c r="J265" s="2"/>
      <c r="K265" s="2"/>
      <c r="L265" s="2"/>
      <c r="M265" s="10"/>
      <c r="N265" s="10">
        <f t="shared" si="23"/>
        <v>0</v>
      </c>
      <c r="O265" s="2">
        <v>2021</v>
      </c>
      <c r="Q265" s="11"/>
    </row>
    <row r="266" spans="1:17" ht="18.75" customHeight="1">
      <c r="A266" s="8" t="s">
        <v>576</v>
      </c>
      <c r="B266" s="37" t="s">
        <v>570</v>
      </c>
      <c r="C266" s="13" t="s">
        <v>2161</v>
      </c>
      <c r="D266" s="2">
        <v>1</v>
      </c>
      <c r="E266" s="75" t="s">
        <v>571</v>
      </c>
      <c r="F266" s="1">
        <f t="shared" si="22"/>
        <v>0.5</v>
      </c>
      <c r="G266" s="2" t="s">
        <v>21</v>
      </c>
      <c r="H266" s="2"/>
      <c r="I266" s="2"/>
      <c r="J266" s="2"/>
      <c r="K266" s="2"/>
      <c r="L266" s="2"/>
      <c r="M266" s="10">
        <v>20</v>
      </c>
      <c r="N266" s="10">
        <f t="shared" si="23"/>
        <v>10</v>
      </c>
      <c r="O266" s="2">
        <v>2018</v>
      </c>
      <c r="Q266" s="11"/>
    </row>
    <row r="267" spans="1:17" ht="18.75">
      <c r="A267" s="8" t="s">
        <v>576</v>
      </c>
      <c r="B267" s="37" t="s">
        <v>572</v>
      </c>
      <c r="C267" s="13" t="s">
        <v>2161</v>
      </c>
      <c r="D267" s="2">
        <v>1</v>
      </c>
      <c r="E267" s="14"/>
      <c r="F267" s="1">
        <f t="shared" si="22"/>
        <v>0.5</v>
      </c>
      <c r="G267" s="2" t="s">
        <v>21</v>
      </c>
      <c r="H267" s="2"/>
      <c r="I267" s="2"/>
      <c r="J267" s="2"/>
      <c r="K267" s="2"/>
      <c r="L267" s="2"/>
      <c r="M267" s="10">
        <v>8</v>
      </c>
      <c r="N267" s="10">
        <f t="shared" si="23"/>
        <v>4</v>
      </c>
      <c r="O267" s="2"/>
      <c r="Q267" s="11"/>
    </row>
    <row r="268" spans="1:17" s="23" customFormat="1" ht="18.75">
      <c r="A268" s="8" t="s">
        <v>576</v>
      </c>
      <c r="B268" s="9" t="s">
        <v>542</v>
      </c>
      <c r="C268" s="21" t="s">
        <v>2161</v>
      </c>
      <c r="D268" s="21">
        <v>2</v>
      </c>
      <c r="E268" s="21" t="s">
        <v>543</v>
      </c>
      <c r="F268" s="1">
        <f t="shared" si="22"/>
        <v>0.25</v>
      </c>
      <c r="G268" s="21" t="s">
        <v>143</v>
      </c>
      <c r="H268" s="21"/>
      <c r="I268" s="21"/>
      <c r="J268" s="21"/>
      <c r="K268" s="21"/>
      <c r="L268" s="21"/>
      <c r="M268" s="22">
        <f>24+16</f>
        <v>40</v>
      </c>
      <c r="N268" s="22">
        <f t="shared" si="23"/>
        <v>10</v>
      </c>
      <c r="O268" s="21"/>
    </row>
    <row r="269" spans="1:17" ht="18.75">
      <c r="A269" s="8" t="s">
        <v>576</v>
      </c>
      <c r="B269" s="37" t="s">
        <v>573</v>
      </c>
      <c r="C269" s="13" t="s">
        <v>2161</v>
      </c>
      <c r="D269" s="2">
        <v>1</v>
      </c>
      <c r="E269" s="14"/>
      <c r="F269" s="1">
        <f t="shared" si="22"/>
        <v>0.5</v>
      </c>
      <c r="G269" s="2" t="s">
        <v>21</v>
      </c>
      <c r="H269" s="2"/>
      <c r="I269" s="2"/>
      <c r="J269" s="2"/>
      <c r="K269" s="2"/>
      <c r="L269" s="2"/>
      <c r="M269" s="10">
        <v>18</v>
      </c>
      <c r="N269" s="10">
        <f t="shared" si="23"/>
        <v>9</v>
      </c>
      <c r="O269" s="2"/>
    </row>
    <row r="270" spans="1:17" ht="18.75" customHeight="1">
      <c r="A270" s="8" t="s">
        <v>577</v>
      </c>
      <c r="B270" s="37" t="s">
        <v>556</v>
      </c>
      <c r="C270" s="13" t="s">
        <v>2161</v>
      </c>
      <c r="D270" s="2">
        <v>1</v>
      </c>
      <c r="E270" s="14" t="s">
        <v>574</v>
      </c>
      <c r="F270" s="1">
        <f t="shared" si="22"/>
        <v>0.75</v>
      </c>
      <c r="G270" s="2" t="s">
        <v>17</v>
      </c>
      <c r="H270" s="2"/>
      <c r="I270" s="2"/>
      <c r="J270" s="2"/>
      <c r="K270" s="2">
        <v>79</v>
      </c>
      <c r="L270" s="2">
        <v>55</v>
      </c>
      <c r="M270" s="10">
        <v>400</v>
      </c>
      <c r="N270" s="10">
        <f t="shared" si="23"/>
        <v>300</v>
      </c>
      <c r="O270" s="2"/>
    </row>
    <row r="271" spans="1:17" ht="18.75">
      <c r="A271" s="8" t="s">
        <v>577</v>
      </c>
      <c r="B271" s="37" t="s">
        <v>558</v>
      </c>
      <c r="C271" s="13" t="s">
        <v>2161</v>
      </c>
      <c r="D271" s="2">
        <v>1</v>
      </c>
      <c r="E271" s="14" t="s">
        <v>559</v>
      </c>
      <c r="F271" s="1">
        <f t="shared" si="22"/>
        <v>0.25</v>
      </c>
      <c r="G271" s="2" t="s">
        <v>143</v>
      </c>
      <c r="H271" s="2"/>
      <c r="I271" s="2"/>
      <c r="J271" s="2"/>
      <c r="K271" s="2">
        <v>79</v>
      </c>
      <c r="L271" s="2">
        <v>55</v>
      </c>
      <c r="M271" s="10">
        <v>60</v>
      </c>
      <c r="N271" s="10">
        <f t="shared" si="23"/>
        <v>15</v>
      </c>
      <c r="O271" s="2"/>
    </row>
    <row r="272" spans="1:17" ht="32.25">
      <c r="A272" s="8" t="s">
        <v>577</v>
      </c>
      <c r="B272" s="37" t="s">
        <v>564</v>
      </c>
      <c r="C272" s="13" t="s">
        <v>2161</v>
      </c>
      <c r="D272" s="2">
        <v>1</v>
      </c>
      <c r="E272" s="75" t="s">
        <v>2168</v>
      </c>
      <c r="F272" s="1">
        <f t="shared" si="22"/>
        <v>0.5</v>
      </c>
      <c r="G272" s="2" t="s">
        <v>21</v>
      </c>
      <c r="H272" s="2"/>
      <c r="I272" s="2"/>
      <c r="J272" s="2"/>
      <c r="K272" s="2" t="s">
        <v>565</v>
      </c>
      <c r="L272" s="2"/>
      <c r="M272" s="10">
        <f>64+25+25</f>
        <v>114</v>
      </c>
      <c r="N272" s="10">
        <f t="shared" si="23"/>
        <v>57</v>
      </c>
      <c r="O272" s="2">
        <v>2017</v>
      </c>
    </row>
    <row r="273" spans="1:15" ht="18.75">
      <c r="A273" s="8" t="s">
        <v>577</v>
      </c>
      <c r="B273" s="37" t="s">
        <v>134</v>
      </c>
      <c r="C273" s="13" t="s">
        <v>2057</v>
      </c>
      <c r="D273" s="2">
        <v>1</v>
      </c>
      <c r="E273" s="14"/>
      <c r="F273" s="1">
        <f t="shared" si="22"/>
        <v>0.75</v>
      </c>
      <c r="G273" s="2" t="s">
        <v>17</v>
      </c>
      <c r="H273" s="30"/>
      <c r="I273" s="30"/>
      <c r="J273" s="30"/>
      <c r="K273" s="30"/>
      <c r="L273" s="30"/>
      <c r="M273" s="31">
        <v>70</v>
      </c>
      <c r="N273" s="10">
        <f t="shared" si="23"/>
        <v>52.5</v>
      </c>
      <c r="O273" s="30"/>
    </row>
    <row r="274" spans="1:15" ht="18.75">
      <c r="A274" s="8" t="s">
        <v>577</v>
      </c>
      <c r="B274" s="37" t="s">
        <v>567</v>
      </c>
      <c r="C274" s="13" t="s">
        <v>2161</v>
      </c>
      <c r="D274" s="2">
        <v>1</v>
      </c>
      <c r="E274" s="14"/>
      <c r="F274" s="1">
        <f t="shared" si="22"/>
        <v>0.75</v>
      </c>
      <c r="G274" s="2" t="s">
        <v>17</v>
      </c>
      <c r="H274" s="2"/>
      <c r="I274" s="2"/>
      <c r="J274" s="2"/>
      <c r="K274" s="2"/>
      <c r="L274" s="2"/>
      <c r="M274" s="10"/>
      <c r="N274" s="10">
        <f t="shared" si="23"/>
        <v>0</v>
      </c>
      <c r="O274" s="2"/>
    </row>
    <row r="275" spans="1:15" ht="18.75">
      <c r="A275" s="8" t="s">
        <v>577</v>
      </c>
      <c r="B275" s="37" t="s">
        <v>217</v>
      </c>
      <c r="C275" s="13" t="s">
        <v>2161</v>
      </c>
      <c r="D275" s="2">
        <v>1</v>
      </c>
      <c r="E275" s="14" t="s">
        <v>561</v>
      </c>
      <c r="F275" s="1">
        <f t="shared" si="22"/>
        <v>0.75</v>
      </c>
      <c r="G275" s="2" t="s">
        <v>17</v>
      </c>
      <c r="H275" s="2"/>
      <c r="I275" s="2"/>
      <c r="J275" s="2"/>
      <c r="K275" s="2"/>
      <c r="L275" s="2"/>
      <c r="M275" s="10">
        <v>15</v>
      </c>
      <c r="N275" s="10">
        <f t="shared" si="23"/>
        <v>11.25</v>
      </c>
      <c r="O275" s="2"/>
    </row>
    <row r="276" spans="1:15" ht="18.75">
      <c r="A276" s="8" t="s">
        <v>577</v>
      </c>
      <c r="B276" s="37" t="s">
        <v>568</v>
      </c>
      <c r="C276" s="13" t="s">
        <v>2161</v>
      </c>
      <c r="D276" s="2">
        <v>1</v>
      </c>
      <c r="E276" s="14"/>
      <c r="F276" s="1">
        <f t="shared" si="22"/>
        <v>0.5</v>
      </c>
      <c r="G276" s="2" t="s">
        <v>21</v>
      </c>
      <c r="H276" s="2"/>
      <c r="I276" s="2"/>
      <c r="J276" s="2"/>
      <c r="K276" s="2"/>
      <c r="L276" s="2"/>
      <c r="M276" s="10"/>
      <c r="N276" s="10">
        <f t="shared" si="23"/>
        <v>0</v>
      </c>
      <c r="O276" s="2"/>
    </row>
    <row r="277" spans="1:15" ht="18.75" customHeight="1">
      <c r="A277" s="8" t="s">
        <v>577</v>
      </c>
      <c r="B277" s="37" t="s">
        <v>570</v>
      </c>
      <c r="C277" s="13" t="s">
        <v>2161</v>
      </c>
      <c r="D277" s="2">
        <v>1</v>
      </c>
      <c r="E277" s="75" t="s">
        <v>571</v>
      </c>
      <c r="F277" s="1">
        <f t="shared" si="22"/>
        <v>0.5</v>
      </c>
      <c r="G277" s="2" t="s">
        <v>21</v>
      </c>
      <c r="H277" s="2"/>
      <c r="I277" s="2"/>
      <c r="J277" s="2"/>
      <c r="K277" s="2"/>
      <c r="L277" s="2"/>
      <c r="M277" s="10">
        <v>20</v>
      </c>
      <c r="N277" s="10">
        <f t="shared" si="23"/>
        <v>10</v>
      </c>
      <c r="O277" s="2">
        <v>2018</v>
      </c>
    </row>
    <row r="278" spans="1:15" ht="18.75">
      <c r="A278" s="8" t="s">
        <v>577</v>
      </c>
      <c r="B278" s="37" t="s">
        <v>569</v>
      </c>
      <c r="C278" s="13" t="s">
        <v>2161</v>
      </c>
      <c r="D278" s="2">
        <v>1</v>
      </c>
      <c r="E278" s="14"/>
      <c r="F278" s="1">
        <f t="shared" si="22"/>
        <v>0.75</v>
      </c>
      <c r="G278" s="2" t="s">
        <v>17</v>
      </c>
      <c r="H278" s="2"/>
      <c r="I278" s="2"/>
      <c r="J278" s="2"/>
      <c r="K278" s="2"/>
      <c r="L278" s="2"/>
      <c r="M278" s="10"/>
      <c r="N278" s="10">
        <f t="shared" si="23"/>
        <v>0</v>
      </c>
      <c r="O278" s="2">
        <v>2021</v>
      </c>
    </row>
    <row r="279" spans="1:15" ht="18.75">
      <c r="A279" s="8" t="s">
        <v>577</v>
      </c>
      <c r="B279" s="37" t="s">
        <v>572</v>
      </c>
      <c r="C279" s="13" t="s">
        <v>2161</v>
      </c>
      <c r="D279" s="2">
        <v>1</v>
      </c>
      <c r="E279" s="14"/>
      <c r="F279" s="1">
        <f t="shared" si="22"/>
        <v>0.5</v>
      </c>
      <c r="G279" s="2" t="s">
        <v>21</v>
      </c>
      <c r="H279" s="2"/>
      <c r="I279" s="2"/>
      <c r="J279" s="2"/>
      <c r="K279" s="2"/>
      <c r="L279" s="2"/>
      <c r="M279" s="10">
        <v>8</v>
      </c>
      <c r="N279" s="10">
        <f t="shared" si="23"/>
        <v>4</v>
      </c>
      <c r="O279" s="2"/>
    </row>
    <row r="280" spans="1:15" s="23" customFormat="1" ht="18.75">
      <c r="A280" s="8" t="s">
        <v>577</v>
      </c>
      <c r="B280" s="9" t="s">
        <v>542</v>
      </c>
      <c r="C280" s="21" t="s">
        <v>2161</v>
      </c>
      <c r="D280" s="21">
        <v>2</v>
      </c>
      <c r="E280" s="21" t="s">
        <v>543</v>
      </c>
      <c r="F280" s="1">
        <f t="shared" si="22"/>
        <v>0.25</v>
      </c>
      <c r="G280" s="21" t="s">
        <v>143</v>
      </c>
      <c r="H280" s="21"/>
      <c r="I280" s="21"/>
      <c r="J280" s="21"/>
      <c r="K280" s="21"/>
      <c r="L280" s="21"/>
      <c r="M280" s="22">
        <v>40</v>
      </c>
      <c r="N280" s="22">
        <v>10</v>
      </c>
      <c r="O280" s="21"/>
    </row>
    <row r="281" spans="1:15" ht="18.75">
      <c r="A281" s="8" t="s">
        <v>577</v>
      </c>
      <c r="B281" s="37" t="s">
        <v>573</v>
      </c>
      <c r="C281" s="13" t="s">
        <v>2161</v>
      </c>
      <c r="D281" s="2">
        <v>1</v>
      </c>
      <c r="E281" s="14"/>
      <c r="F281" s="1">
        <f t="shared" si="22"/>
        <v>0.5</v>
      </c>
      <c r="G281" s="2" t="s">
        <v>21</v>
      </c>
      <c r="H281" s="2"/>
      <c r="I281" s="2"/>
      <c r="J281" s="2"/>
      <c r="K281" s="2"/>
      <c r="L281" s="2"/>
      <c r="M281" s="10">
        <v>18</v>
      </c>
      <c r="N281" s="10">
        <f t="shared" ref="N281:N291" si="24">F281*M281</f>
        <v>9</v>
      </c>
      <c r="O281" s="2"/>
    </row>
    <row r="282" spans="1:15" ht="18" customHeight="1">
      <c r="A282" s="8" t="s">
        <v>607</v>
      </c>
      <c r="B282" s="37" t="s">
        <v>578</v>
      </c>
      <c r="C282" s="13" t="s">
        <v>2161</v>
      </c>
      <c r="D282" s="2">
        <v>3</v>
      </c>
      <c r="E282" s="14" t="s">
        <v>579</v>
      </c>
      <c r="F282" s="1">
        <f t="shared" si="22"/>
        <v>0.25</v>
      </c>
      <c r="G282" s="2" t="s">
        <v>143</v>
      </c>
      <c r="H282" s="14" t="s">
        <v>580</v>
      </c>
      <c r="I282" s="2"/>
      <c r="J282" s="2"/>
      <c r="K282" s="2"/>
      <c r="L282" s="2"/>
      <c r="M282" s="10">
        <f>300*3</f>
        <v>900</v>
      </c>
      <c r="N282" s="10">
        <f t="shared" si="24"/>
        <v>225</v>
      </c>
      <c r="O282" s="2"/>
    </row>
    <row r="283" spans="1:15" ht="18" customHeight="1">
      <c r="A283" s="8" t="s">
        <v>607</v>
      </c>
      <c r="B283" s="37" t="s">
        <v>581</v>
      </c>
      <c r="C283" s="13" t="s">
        <v>2161</v>
      </c>
      <c r="D283" s="2">
        <v>3</v>
      </c>
      <c r="E283" s="14" t="s">
        <v>582</v>
      </c>
      <c r="F283" s="1">
        <f t="shared" si="22"/>
        <v>0.25</v>
      </c>
      <c r="G283" s="2" t="s">
        <v>143</v>
      </c>
      <c r="H283" s="14"/>
      <c r="I283" s="2"/>
      <c r="J283" s="2"/>
      <c r="K283" s="2"/>
      <c r="L283" s="2"/>
      <c r="M283" s="10">
        <f>100*3</f>
        <v>300</v>
      </c>
      <c r="N283" s="10">
        <f t="shared" si="24"/>
        <v>75</v>
      </c>
      <c r="O283" s="2"/>
    </row>
    <row r="284" spans="1:15" ht="18.75">
      <c r="A284" s="8" t="s">
        <v>607</v>
      </c>
      <c r="B284" s="37" t="s">
        <v>585</v>
      </c>
      <c r="C284" s="13" t="s">
        <v>2161</v>
      </c>
      <c r="D284" s="2">
        <v>3</v>
      </c>
      <c r="E284" s="14" t="s">
        <v>586</v>
      </c>
      <c r="F284" s="1">
        <f t="shared" si="22"/>
        <v>0.75</v>
      </c>
      <c r="G284" s="2" t="s">
        <v>17</v>
      </c>
      <c r="H284" s="2"/>
      <c r="I284" s="2"/>
      <c r="J284" s="2"/>
      <c r="K284" s="2"/>
      <c r="L284" s="2"/>
      <c r="M284" s="10">
        <f>18*3</f>
        <v>54</v>
      </c>
      <c r="N284" s="10">
        <f t="shared" si="24"/>
        <v>40.5</v>
      </c>
      <c r="O284" s="2"/>
    </row>
    <row r="285" spans="1:15" ht="18.75">
      <c r="A285" s="8" t="s">
        <v>607</v>
      </c>
      <c r="B285" s="37" t="s">
        <v>134</v>
      </c>
      <c r="C285" s="13" t="s">
        <v>2057</v>
      </c>
      <c r="D285" s="2">
        <v>1</v>
      </c>
      <c r="E285" s="14"/>
      <c r="F285" s="1">
        <f t="shared" si="22"/>
        <v>0.75</v>
      </c>
      <c r="G285" s="2" t="s">
        <v>16</v>
      </c>
      <c r="H285" s="2"/>
      <c r="I285" s="2"/>
      <c r="J285" s="2"/>
      <c r="K285" s="2"/>
      <c r="L285" s="2"/>
      <c r="M285" s="10">
        <v>70</v>
      </c>
      <c r="N285" s="10">
        <f t="shared" si="24"/>
        <v>52.5</v>
      </c>
      <c r="O285" s="2"/>
    </row>
    <row r="286" spans="1:15" ht="18.75">
      <c r="A286" s="8" t="s">
        <v>607</v>
      </c>
      <c r="B286" s="37" t="s">
        <v>573</v>
      </c>
      <c r="C286" s="13" t="s">
        <v>2161</v>
      </c>
      <c r="D286" s="2">
        <v>1</v>
      </c>
      <c r="E286" s="14"/>
      <c r="F286" s="1">
        <f t="shared" si="22"/>
        <v>0.5</v>
      </c>
      <c r="G286" s="2" t="s">
        <v>21</v>
      </c>
      <c r="H286" s="2"/>
      <c r="I286" s="2"/>
      <c r="J286" s="2"/>
      <c r="K286" s="2"/>
      <c r="L286" s="2"/>
      <c r="M286" s="10">
        <v>18</v>
      </c>
      <c r="N286" s="10">
        <f t="shared" si="24"/>
        <v>9</v>
      </c>
      <c r="O286" s="2"/>
    </row>
    <row r="287" spans="1:15" ht="18.75">
      <c r="A287" s="8" t="s">
        <v>607</v>
      </c>
      <c r="B287" s="37" t="s">
        <v>587</v>
      </c>
      <c r="C287" s="13" t="s">
        <v>2161</v>
      </c>
      <c r="D287" s="2">
        <v>1</v>
      </c>
      <c r="E287" s="14"/>
      <c r="F287" s="1">
        <f t="shared" si="22"/>
        <v>0.5</v>
      </c>
      <c r="G287" s="2" t="s">
        <v>21</v>
      </c>
      <c r="H287" s="2"/>
      <c r="I287" s="2"/>
      <c r="J287" s="2"/>
      <c r="K287" s="2"/>
      <c r="L287" s="2"/>
      <c r="M287" s="10"/>
      <c r="N287" s="10">
        <f t="shared" si="24"/>
        <v>0</v>
      </c>
      <c r="O287" s="2"/>
    </row>
    <row r="288" spans="1:15" ht="18.75">
      <c r="A288" s="8" t="s">
        <v>607</v>
      </c>
      <c r="B288" s="37" t="s">
        <v>570</v>
      </c>
      <c r="C288" s="13" t="s">
        <v>2161</v>
      </c>
      <c r="D288" s="2">
        <v>1</v>
      </c>
      <c r="E288" s="14" t="s">
        <v>588</v>
      </c>
      <c r="F288" s="1">
        <f t="shared" si="22"/>
        <v>0.5</v>
      </c>
      <c r="G288" s="2" t="s">
        <v>21</v>
      </c>
      <c r="H288" s="2"/>
      <c r="I288" s="2"/>
      <c r="J288" s="2"/>
      <c r="K288" s="2"/>
      <c r="L288" s="2"/>
      <c r="M288" s="10">
        <v>20</v>
      </c>
      <c r="N288" s="10">
        <f t="shared" si="24"/>
        <v>10</v>
      </c>
      <c r="O288" s="2">
        <v>2018</v>
      </c>
    </row>
    <row r="289" spans="1:15" ht="18.75">
      <c r="A289" s="8" t="s">
        <v>607</v>
      </c>
      <c r="B289" s="37" t="s">
        <v>572</v>
      </c>
      <c r="C289" s="13" t="s">
        <v>2161</v>
      </c>
      <c r="D289" s="2">
        <v>1</v>
      </c>
      <c r="E289" s="14" t="s">
        <v>589</v>
      </c>
      <c r="F289" s="1">
        <f t="shared" ref="F289:F320" si="25">IF(G289="fair",0.5,0)+IF(G289="good",0.75,0)+IF(G289="poor",0.25,0)+IF(G289="like new",0.9,0)+IF(G289="new",1,0)</f>
        <v>0.5</v>
      </c>
      <c r="G289" s="2" t="s">
        <v>21</v>
      </c>
      <c r="H289" s="2"/>
      <c r="I289" s="2"/>
      <c r="J289" s="2"/>
      <c r="K289" s="2"/>
      <c r="L289" s="2"/>
      <c r="M289" s="10">
        <v>8</v>
      </c>
      <c r="N289" s="10">
        <f t="shared" si="24"/>
        <v>4</v>
      </c>
      <c r="O289" s="2">
        <v>2021</v>
      </c>
    </row>
    <row r="290" spans="1:15" ht="18.75">
      <c r="A290" s="8" t="s">
        <v>607</v>
      </c>
      <c r="B290" s="37" t="s">
        <v>590</v>
      </c>
      <c r="C290" s="13" t="s">
        <v>2161</v>
      </c>
      <c r="D290" s="2">
        <v>1</v>
      </c>
      <c r="E290" s="14"/>
      <c r="F290" s="1">
        <f t="shared" si="25"/>
        <v>0.75</v>
      </c>
      <c r="G290" s="2" t="s">
        <v>17</v>
      </c>
      <c r="H290" s="2"/>
      <c r="I290" s="2"/>
      <c r="J290" s="2"/>
      <c r="K290" s="2"/>
      <c r="L290" s="2"/>
      <c r="M290" s="10"/>
      <c r="N290" s="10">
        <f t="shared" si="24"/>
        <v>0</v>
      </c>
      <c r="O290" s="2"/>
    </row>
    <row r="291" spans="1:15" ht="18.75">
      <c r="A291" s="8" t="s">
        <v>607</v>
      </c>
      <c r="B291" s="37" t="s">
        <v>591</v>
      </c>
      <c r="C291" s="13" t="s">
        <v>2161</v>
      </c>
      <c r="D291" s="2">
        <v>1</v>
      </c>
      <c r="E291" s="14" t="s">
        <v>592</v>
      </c>
      <c r="F291" s="1">
        <f t="shared" si="25"/>
        <v>0.5</v>
      </c>
      <c r="G291" s="2" t="s">
        <v>21</v>
      </c>
      <c r="H291" s="2"/>
      <c r="I291" s="2"/>
      <c r="J291" s="2"/>
      <c r="K291" s="2"/>
      <c r="L291" s="2"/>
      <c r="M291" s="10">
        <v>12</v>
      </c>
      <c r="N291" s="10">
        <f t="shared" si="24"/>
        <v>6</v>
      </c>
      <c r="O291" s="2"/>
    </row>
    <row r="292" spans="1:15" s="23" customFormat="1" ht="18.75">
      <c r="A292" s="20" t="s">
        <v>538</v>
      </c>
      <c r="B292" s="9" t="s">
        <v>542</v>
      </c>
      <c r="C292" s="21" t="s">
        <v>2161</v>
      </c>
      <c r="D292" s="21">
        <v>1</v>
      </c>
      <c r="E292" s="21" t="s">
        <v>617</v>
      </c>
      <c r="F292" s="1">
        <f t="shared" si="25"/>
        <v>0.75</v>
      </c>
      <c r="G292" s="21" t="s">
        <v>17</v>
      </c>
      <c r="H292" s="21"/>
      <c r="I292" s="21"/>
      <c r="J292" s="21"/>
      <c r="K292" s="21"/>
      <c r="L292" s="21"/>
      <c r="M292" s="22">
        <v>24</v>
      </c>
      <c r="N292" s="22">
        <v>18</v>
      </c>
      <c r="O292" s="21"/>
    </row>
    <row r="293" spans="1:15" ht="18.75">
      <c r="A293" s="8" t="s">
        <v>607</v>
      </c>
      <c r="B293" s="9" t="s">
        <v>217</v>
      </c>
      <c r="C293" s="13" t="s">
        <v>2161</v>
      </c>
      <c r="D293" s="2">
        <v>1</v>
      </c>
      <c r="E293" s="14" t="s">
        <v>561</v>
      </c>
      <c r="F293" s="1">
        <f t="shared" si="25"/>
        <v>0.75</v>
      </c>
      <c r="G293" s="2" t="s">
        <v>17</v>
      </c>
      <c r="H293" s="2"/>
      <c r="I293" s="2"/>
      <c r="J293" s="2"/>
      <c r="K293" s="2"/>
      <c r="L293" s="2"/>
      <c r="M293" s="10">
        <v>15</v>
      </c>
      <c r="N293" s="10">
        <f t="shared" ref="N293:N302" si="26">F293*M293</f>
        <v>11.25</v>
      </c>
      <c r="O293" s="2"/>
    </row>
    <row r="294" spans="1:15" ht="18.75">
      <c r="A294" s="8" t="s">
        <v>608</v>
      </c>
      <c r="B294" s="9" t="s">
        <v>560</v>
      </c>
      <c r="C294" s="13" t="s">
        <v>2161</v>
      </c>
      <c r="D294" s="2">
        <v>1</v>
      </c>
      <c r="E294" s="14" t="s">
        <v>561</v>
      </c>
      <c r="F294" s="1">
        <f t="shared" si="25"/>
        <v>0.25</v>
      </c>
      <c r="G294" s="2" t="s">
        <v>143</v>
      </c>
      <c r="H294" s="14" t="s">
        <v>41</v>
      </c>
      <c r="I294" s="2" t="s">
        <v>595</v>
      </c>
      <c r="J294" s="2"/>
      <c r="K294" s="2"/>
      <c r="L294" s="2"/>
      <c r="M294" s="10">
        <v>15</v>
      </c>
      <c r="N294" s="10">
        <f t="shared" si="26"/>
        <v>3.75</v>
      </c>
      <c r="O294" s="2">
        <v>2015</v>
      </c>
    </row>
    <row r="295" spans="1:15" ht="18.75">
      <c r="A295" s="8" t="s">
        <v>608</v>
      </c>
      <c r="B295" s="9" t="s">
        <v>585</v>
      </c>
      <c r="C295" s="13" t="s">
        <v>2161</v>
      </c>
      <c r="D295" s="2">
        <v>3</v>
      </c>
      <c r="E295" s="14" t="s">
        <v>596</v>
      </c>
      <c r="F295" s="1">
        <f t="shared" si="25"/>
        <v>0.75</v>
      </c>
      <c r="G295" s="2" t="s">
        <v>17</v>
      </c>
      <c r="H295" s="2"/>
      <c r="I295" s="2"/>
      <c r="J295" s="2"/>
      <c r="K295" s="2"/>
      <c r="L295" s="2"/>
      <c r="M295" s="10">
        <f>20*3</f>
        <v>60</v>
      </c>
      <c r="N295" s="10">
        <f t="shared" si="26"/>
        <v>45</v>
      </c>
      <c r="O295" s="2"/>
    </row>
    <row r="296" spans="1:15" ht="18.75">
      <c r="A296" s="8" t="s">
        <v>608</v>
      </c>
      <c r="B296" s="9" t="s">
        <v>134</v>
      </c>
      <c r="C296" s="13" t="s">
        <v>2057</v>
      </c>
      <c r="D296" s="2">
        <v>1</v>
      </c>
      <c r="E296" s="14"/>
      <c r="F296" s="1">
        <f t="shared" si="25"/>
        <v>0.75</v>
      </c>
      <c r="G296" s="2" t="s">
        <v>16</v>
      </c>
      <c r="H296" s="2"/>
      <c r="I296" s="2"/>
      <c r="J296" s="2"/>
      <c r="K296" s="2"/>
      <c r="L296" s="2"/>
      <c r="M296" s="10">
        <v>70</v>
      </c>
      <c r="N296" s="10">
        <f t="shared" si="26"/>
        <v>52.5</v>
      </c>
      <c r="O296" s="2"/>
    </row>
    <row r="297" spans="1:15" ht="18.75">
      <c r="A297" s="8" t="s">
        <v>608</v>
      </c>
      <c r="B297" s="9" t="s">
        <v>573</v>
      </c>
      <c r="C297" s="13" t="s">
        <v>2161</v>
      </c>
      <c r="D297" s="2">
        <v>1</v>
      </c>
      <c r="E297" s="14"/>
      <c r="F297" s="1">
        <f t="shared" si="25"/>
        <v>0.5</v>
      </c>
      <c r="G297" s="2" t="s">
        <v>21</v>
      </c>
      <c r="H297" s="2"/>
      <c r="I297" s="2"/>
      <c r="J297" s="2"/>
      <c r="K297" s="2"/>
      <c r="L297" s="2"/>
      <c r="M297" s="10">
        <v>18</v>
      </c>
      <c r="N297" s="10">
        <f t="shared" si="26"/>
        <v>9</v>
      </c>
      <c r="O297" s="2"/>
    </row>
    <row r="298" spans="1:15" ht="18.75">
      <c r="A298" s="8" t="s">
        <v>608</v>
      </c>
      <c r="B298" s="9" t="s">
        <v>597</v>
      </c>
      <c r="C298" s="13" t="s">
        <v>2161</v>
      </c>
      <c r="D298" s="2">
        <v>1</v>
      </c>
      <c r="E298" s="14"/>
      <c r="F298" s="1">
        <f t="shared" si="25"/>
        <v>0.5</v>
      </c>
      <c r="G298" s="2" t="s">
        <v>21</v>
      </c>
      <c r="H298" s="2"/>
      <c r="I298" s="2"/>
      <c r="J298" s="2"/>
      <c r="K298" s="2"/>
      <c r="L298" s="2"/>
      <c r="M298" s="10"/>
      <c r="N298" s="10">
        <f t="shared" si="26"/>
        <v>0</v>
      </c>
      <c r="O298" s="2"/>
    </row>
    <row r="299" spans="1:15" ht="18.75">
      <c r="A299" s="8" t="s">
        <v>608</v>
      </c>
      <c r="B299" s="9" t="s">
        <v>590</v>
      </c>
      <c r="C299" s="13" t="s">
        <v>2161</v>
      </c>
      <c r="D299" s="2">
        <v>1</v>
      </c>
      <c r="E299" s="14"/>
      <c r="F299" s="1">
        <f t="shared" si="25"/>
        <v>0.75</v>
      </c>
      <c r="G299" s="2" t="s">
        <v>17</v>
      </c>
      <c r="H299" s="2"/>
      <c r="I299" s="2"/>
      <c r="J299" s="2"/>
      <c r="K299" s="2"/>
      <c r="L299" s="2"/>
      <c r="M299" s="10"/>
      <c r="N299" s="10">
        <f t="shared" si="26"/>
        <v>0</v>
      </c>
      <c r="O299" s="2">
        <v>2021</v>
      </c>
    </row>
    <row r="300" spans="1:15" ht="18.75">
      <c r="A300" s="8" t="s">
        <v>608</v>
      </c>
      <c r="B300" s="9" t="s">
        <v>570</v>
      </c>
      <c r="C300" s="13" t="s">
        <v>2161</v>
      </c>
      <c r="D300" s="2">
        <v>1</v>
      </c>
      <c r="E300" s="14" t="s">
        <v>588</v>
      </c>
      <c r="F300" s="1">
        <f t="shared" si="25"/>
        <v>0.5</v>
      </c>
      <c r="G300" s="2" t="s">
        <v>21</v>
      </c>
      <c r="H300" s="2"/>
      <c r="I300" s="2"/>
      <c r="J300" s="2"/>
      <c r="K300" s="2"/>
      <c r="L300" s="2"/>
      <c r="M300" s="10">
        <v>20</v>
      </c>
      <c r="N300" s="10">
        <f t="shared" si="26"/>
        <v>10</v>
      </c>
      <c r="O300" s="2">
        <v>2018</v>
      </c>
    </row>
    <row r="301" spans="1:15" ht="18.75">
      <c r="A301" s="8" t="s">
        <v>608</v>
      </c>
      <c r="B301" s="9" t="s">
        <v>572</v>
      </c>
      <c r="C301" s="13" t="s">
        <v>2161</v>
      </c>
      <c r="D301" s="2">
        <v>1</v>
      </c>
      <c r="E301" s="14" t="s">
        <v>589</v>
      </c>
      <c r="F301" s="1">
        <f t="shared" si="25"/>
        <v>0.5</v>
      </c>
      <c r="G301" s="2" t="s">
        <v>21</v>
      </c>
      <c r="H301" s="2"/>
      <c r="I301" s="2"/>
      <c r="J301" s="2"/>
      <c r="K301" s="2"/>
      <c r="L301" s="2"/>
      <c r="M301" s="10">
        <v>8</v>
      </c>
      <c r="N301" s="10">
        <f t="shared" si="26"/>
        <v>4</v>
      </c>
      <c r="O301" s="2"/>
    </row>
    <row r="302" spans="1:15" ht="18.75">
      <c r="A302" s="8" t="s">
        <v>608</v>
      </c>
      <c r="B302" s="9" t="s">
        <v>591</v>
      </c>
      <c r="C302" s="13" t="s">
        <v>2161</v>
      </c>
      <c r="D302" s="2">
        <v>1</v>
      </c>
      <c r="E302" s="14" t="s">
        <v>598</v>
      </c>
      <c r="F302" s="1">
        <f t="shared" si="25"/>
        <v>0.5</v>
      </c>
      <c r="G302" s="2" t="s">
        <v>21</v>
      </c>
      <c r="H302" s="2"/>
      <c r="I302" s="2"/>
      <c r="J302" s="2"/>
      <c r="K302" s="2"/>
      <c r="L302" s="2"/>
      <c r="M302" s="10">
        <v>12</v>
      </c>
      <c r="N302" s="10">
        <f t="shared" si="26"/>
        <v>6</v>
      </c>
      <c r="O302" s="2"/>
    </row>
    <row r="303" spans="1:15" s="23" customFormat="1" ht="18.75">
      <c r="A303" s="20" t="s">
        <v>608</v>
      </c>
      <c r="B303" s="9" t="s">
        <v>542</v>
      </c>
      <c r="C303" s="21" t="s">
        <v>2161</v>
      </c>
      <c r="D303" s="21">
        <v>1</v>
      </c>
      <c r="E303" s="21" t="s">
        <v>617</v>
      </c>
      <c r="F303" s="1">
        <f t="shared" si="25"/>
        <v>0.25</v>
      </c>
      <c r="G303" s="21" t="s">
        <v>46</v>
      </c>
      <c r="H303" s="21"/>
      <c r="I303" s="21"/>
      <c r="J303" s="21"/>
      <c r="K303" s="21"/>
      <c r="L303" s="21"/>
      <c r="M303" s="22">
        <v>24</v>
      </c>
      <c r="N303" s="22">
        <v>6</v>
      </c>
      <c r="O303" s="21"/>
    </row>
    <row r="304" spans="1:15" ht="18.75">
      <c r="A304" s="8" t="s">
        <v>608</v>
      </c>
      <c r="B304" s="9" t="s">
        <v>217</v>
      </c>
      <c r="C304" s="13" t="s">
        <v>2161</v>
      </c>
      <c r="D304" s="2">
        <v>1</v>
      </c>
      <c r="E304" s="14" t="s">
        <v>561</v>
      </c>
      <c r="F304" s="1">
        <f t="shared" si="25"/>
        <v>0.75</v>
      </c>
      <c r="G304" s="2" t="s">
        <v>17</v>
      </c>
      <c r="H304" s="2"/>
      <c r="I304" s="2"/>
      <c r="J304" s="2"/>
      <c r="K304" s="2"/>
      <c r="L304" s="2"/>
      <c r="M304" s="10">
        <v>15</v>
      </c>
      <c r="N304" s="10">
        <f t="shared" ref="N304:N311" si="27">F304*M304</f>
        <v>11.25</v>
      </c>
      <c r="O304" s="2"/>
    </row>
    <row r="305" spans="1:15" ht="32.25">
      <c r="A305" s="8" t="s">
        <v>609</v>
      </c>
      <c r="B305" s="9" t="s">
        <v>599</v>
      </c>
      <c r="C305" s="13" t="s">
        <v>2161</v>
      </c>
      <c r="D305" s="2">
        <v>1</v>
      </c>
      <c r="E305" s="14" t="s">
        <v>600</v>
      </c>
      <c r="F305" s="1">
        <f t="shared" si="25"/>
        <v>0.5</v>
      </c>
      <c r="G305" s="2" t="s">
        <v>21</v>
      </c>
      <c r="H305" s="14"/>
      <c r="I305" s="2"/>
      <c r="J305" s="2"/>
      <c r="K305" s="2" t="s">
        <v>601</v>
      </c>
      <c r="L305" s="2"/>
      <c r="M305" s="10">
        <f>64+32</f>
        <v>96</v>
      </c>
      <c r="N305" s="10">
        <f t="shared" si="27"/>
        <v>48</v>
      </c>
      <c r="O305" s="2">
        <v>2017</v>
      </c>
    </row>
    <row r="306" spans="1:15" ht="18.75">
      <c r="A306" s="8" t="s">
        <v>609</v>
      </c>
      <c r="B306" s="9" t="s">
        <v>134</v>
      </c>
      <c r="C306" s="13" t="s">
        <v>2057</v>
      </c>
      <c r="D306" s="2">
        <v>1</v>
      </c>
      <c r="E306" s="14"/>
      <c r="F306" s="1">
        <f t="shared" si="25"/>
        <v>0.75</v>
      </c>
      <c r="G306" s="2" t="s">
        <v>16</v>
      </c>
      <c r="H306" s="2"/>
      <c r="I306" s="2"/>
      <c r="J306" s="2"/>
      <c r="K306" s="2"/>
      <c r="L306" s="2"/>
      <c r="M306" s="10">
        <v>70</v>
      </c>
      <c r="N306" s="10">
        <f t="shared" si="27"/>
        <v>52.5</v>
      </c>
      <c r="O306" s="2"/>
    </row>
    <row r="307" spans="1:15" ht="18.75">
      <c r="A307" s="8" t="s">
        <v>609</v>
      </c>
      <c r="B307" s="9" t="s">
        <v>573</v>
      </c>
      <c r="C307" s="13" t="s">
        <v>2161</v>
      </c>
      <c r="D307" s="2">
        <v>1</v>
      </c>
      <c r="E307" s="14"/>
      <c r="F307" s="1">
        <f t="shared" si="25"/>
        <v>0.5</v>
      </c>
      <c r="G307" s="2" t="s">
        <v>21</v>
      </c>
      <c r="H307" s="2"/>
      <c r="I307" s="2"/>
      <c r="J307" s="2"/>
      <c r="K307" s="2"/>
      <c r="L307" s="2"/>
      <c r="M307" s="10">
        <v>18</v>
      </c>
      <c r="N307" s="10">
        <f t="shared" si="27"/>
        <v>9</v>
      </c>
      <c r="O307" s="2"/>
    </row>
    <row r="308" spans="1:15" ht="18.75">
      <c r="A308" s="8" t="s">
        <v>609</v>
      </c>
      <c r="B308" s="9" t="s">
        <v>597</v>
      </c>
      <c r="C308" s="13" t="s">
        <v>2161</v>
      </c>
      <c r="D308" s="2">
        <v>1</v>
      </c>
      <c r="E308" s="14"/>
      <c r="F308" s="1">
        <f t="shared" si="25"/>
        <v>0.5</v>
      </c>
      <c r="G308" s="2" t="s">
        <v>21</v>
      </c>
      <c r="H308" s="2"/>
      <c r="I308" s="2"/>
      <c r="J308" s="2"/>
      <c r="K308" s="2"/>
      <c r="L308" s="2"/>
      <c r="M308" s="10"/>
      <c r="N308" s="10">
        <f t="shared" si="27"/>
        <v>0</v>
      </c>
      <c r="O308" s="2"/>
    </row>
    <row r="309" spans="1:15" ht="18.75">
      <c r="A309" s="8" t="s">
        <v>609</v>
      </c>
      <c r="B309" s="9" t="s">
        <v>570</v>
      </c>
      <c r="C309" s="13" t="s">
        <v>2161</v>
      </c>
      <c r="D309" s="2">
        <v>1</v>
      </c>
      <c r="E309" s="14" t="s">
        <v>588</v>
      </c>
      <c r="F309" s="1">
        <f t="shared" si="25"/>
        <v>0.5</v>
      </c>
      <c r="G309" s="2" t="s">
        <v>21</v>
      </c>
      <c r="H309" s="2"/>
      <c r="I309" s="2"/>
      <c r="J309" s="2"/>
      <c r="K309" s="2"/>
      <c r="L309" s="2"/>
      <c r="M309" s="10">
        <v>20</v>
      </c>
      <c r="N309" s="10">
        <f t="shared" si="27"/>
        <v>10</v>
      </c>
      <c r="O309" s="2">
        <v>2018</v>
      </c>
    </row>
    <row r="310" spans="1:15" ht="18.75">
      <c r="A310" s="8" t="s">
        <v>609</v>
      </c>
      <c r="B310" s="9" t="s">
        <v>590</v>
      </c>
      <c r="C310" s="13" t="s">
        <v>2161</v>
      </c>
      <c r="D310" s="2">
        <v>1</v>
      </c>
      <c r="E310" s="14"/>
      <c r="F310" s="1">
        <f t="shared" si="25"/>
        <v>0.75</v>
      </c>
      <c r="G310" s="2" t="s">
        <v>17</v>
      </c>
      <c r="H310" s="2"/>
      <c r="I310" s="2"/>
      <c r="J310" s="2"/>
      <c r="K310" s="2"/>
      <c r="L310" s="2"/>
      <c r="M310" s="10"/>
      <c r="N310" s="10">
        <f t="shared" si="27"/>
        <v>0</v>
      </c>
      <c r="O310" s="2">
        <v>2021</v>
      </c>
    </row>
    <row r="311" spans="1:15" ht="18.75">
      <c r="A311" s="8" t="s">
        <v>609</v>
      </c>
      <c r="B311" s="9" t="s">
        <v>572</v>
      </c>
      <c r="C311" s="13" t="s">
        <v>2161</v>
      </c>
      <c r="D311" s="2">
        <v>1</v>
      </c>
      <c r="E311" s="14" t="s">
        <v>589</v>
      </c>
      <c r="F311" s="1">
        <f t="shared" si="25"/>
        <v>0.5</v>
      </c>
      <c r="G311" s="2" t="s">
        <v>21</v>
      </c>
      <c r="H311" s="2"/>
      <c r="I311" s="2"/>
      <c r="J311" s="2"/>
      <c r="K311" s="2"/>
      <c r="L311" s="2"/>
      <c r="M311" s="10">
        <v>8</v>
      </c>
      <c r="N311" s="10">
        <f t="shared" si="27"/>
        <v>4</v>
      </c>
      <c r="O311" s="2"/>
    </row>
    <row r="312" spans="1:15" s="23" customFormat="1" ht="18.75">
      <c r="A312" s="20" t="s">
        <v>609</v>
      </c>
      <c r="B312" s="9" t="s">
        <v>542</v>
      </c>
      <c r="C312" s="21" t="s">
        <v>2161</v>
      </c>
      <c r="D312" s="21">
        <v>1</v>
      </c>
      <c r="E312" s="21" t="s">
        <v>617</v>
      </c>
      <c r="F312" s="1">
        <f t="shared" si="25"/>
        <v>0.5</v>
      </c>
      <c r="G312" s="21" t="s">
        <v>29</v>
      </c>
      <c r="H312" s="21"/>
      <c r="I312" s="21"/>
      <c r="J312" s="21"/>
      <c r="K312" s="21"/>
      <c r="L312" s="21"/>
      <c r="M312" s="22">
        <v>24</v>
      </c>
      <c r="N312" s="22">
        <v>12</v>
      </c>
      <c r="O312" s="21"/>
    </row>
    <row r="313" spans="1:15" ht="18.75">
      <c r="A313" s="8" t="s">
        <v>609</v>
      </c>
      <c r="B313" s="9" t="s">
        <v>591</v>
      </c>
      <c r="C313" s="13" t="s">
        <v>2161</v>
      </c>
      <c r="D313" s="2">
        <v>1</v>
      </c>
      <c r="E313" s="14" t="s">
        <v>598</v>
      </c>
      <c r="F313" s="1">
        <f t="shared" si="25"/>
        <v>0.5</v>
      </c>
      <c r="G313" s="2" t="s">
        <v>21</v>
      </c>
      <c r="H313" s="2"/>
      <c r="I313" s="2"/>
      <c r="J313" s="2"/>
      <c r="K313" s="2"/>
      <c r="L313" s="2"/>
      <c r="M313" s="10">
        <v>12</v>
      </c>
      <c r="N313" s="10">
        <f t="shared" ref="N313:N319" si="28">F313*M313</f>
        <v>6</v>
      </c>
      <c r="O313" s="2"/>
    </row>
    <row r="314" spans="1:15" ht="18.75">
      <c r="A314" s="8" t="s">
        <v>610</v>
      </c>
      <c r="B314" s="9" t="s">
        <v>134</v>
      </c>
      <c r="C314" s="13" t="s">
        <v>2057</v>
      </c>
      <c r="D314" s="2">
        <v>1</v>
      </c>
      <c r="E314" s="14"/>
      <c r="F314" s="1">
        <f t="shared" si="25"/>
        <v>0.75</v>
      </c>
      <c r="G314" s="2" t="s">
        <v>16</v>
      </c>
      <c r="H314" s="2"/>
      <c r="I314" s="2"/>
      <c r="J314" s="2"/>
      <c r="K314" s="2"/>
      <c r="L314" s="2"/>
      <c r="M314" s="10">
        <v>70</v>
      </c>
      <c r="N314" s="10">
        <f t="shared" si="28"/>
        <v>52.5</v>
      </c>
      <c r="O314" s="2"/>
    </row>
    <row r="315" spans="1:15" ht="18.75">
      <c r="A315" s="8" t="s">
        <v>610</v>
      </c>
      <c r="B315" s="9" t="s">
        <v>573</v>
      </c>
      <c r="C315" s="13" t="s">
        <v>2161</v>
      </c>
      <c r="D315" s="2">
        <v>1</v>
      </c>
      <c r="E315" s="14"/>
      <c r="F315" s="1">
        <f t="shared" si="25"/>
        <v>0.5</v>
      </c>
      <c r="G315" s="2" t="s">
        <v>21</v>
      </c>
      <c r="H315" s="2"/>
      <c r="I315" s="2"/>
      <c r="J315" s="2"/>
      <c r="K315" s="2"/>
      <c r="L315" s="2"/>
      <c r="M315" s="10">
        <v>18</v>
      </c>
      <c r="N315" s="10">
        <f t="shared" si="28"/>
        <v>9</v>
      </c>
      <c r="O315" s="2"/>
    </row>
    <row r="316" spans="1:15" ht="18.75">
      <c r="A316" s="8" t="s">
        <v>610</v>
      </c>
      <c r="B316" s="9" t="s">
        <v>587</v>
      </c>
      <c r="C316" s="13" t="s">
        <v>2161</v>
      </c>
      <c r="D316" s="2">
        <v>1</v>
      </c>
      <c r="E316" s="14"/>
      <c r="F316" s="1">
        <f t="shared" si="25"/>
        <v>0.5</v>
      </c>
      <c r="G316" s="2" t="s">
        <v>21</v>
      </c>
      <c r="H316" s="2"/>
      <c r="I316" s="2"/>
      <c r="J316" s="2"/>
      <c r="K316" s="2"/>
      <c r="L316" s="2"/>
      <c r="M316" s="10"/>
      <c r="N316" s="10">
        <f t="shared" si="28"/>
        <v>0</v>
      </c>
      <c r="O316" s="2"/>
    </row>
    <row r="317" spans="1:15" ht="18.75">
      <c r="A317" s="8" t="s">
        <v>610</v>
      </c>
      <c r="B317" s="9" t="s">
        <v>570</v>
      </c>
      <c r="C317" s="13" t="s">
        <v>2161</v>
      </c>
      <c r="D317" s="2">
        <v>1</v>
      </c>
      <c r="E317" s="14" t="s">
        <v>588</v>
      </c>
      <c r="F317" s="1">
        <f t="shared" si="25"/>
        <v>0.5</v>
      </c>
      <c r="G317" s="2" t="s">
        <v>21</v>
      </c>
      <c r="H317" s="2"/>
      <c r="I317" s="2"/>
      <c r="J317" s="2"/>
      <c r="K317" s="2"/>
      <c r="L317" s="2"/>
      <c r="M317" s="10">
        <v>20</v>
      </c>
      <c r="N317" s="10">
        <f t="shared" si="28"/>
        <v>10</v>
      </c>
      <c r="O317" s="2">
        <v>2018</v>
      </c>
    </row>
    <row r="318" spans="1:15" ht="18.75">
      <c r="A318" s="8" t="s">
        <v>610</v>
      </c>
      <c r="B318" s="9" t="s">
        <v>590</v>
      </c>
      <c r="C318" s="13" t="s">
        <v>2161</v>
      </c>
      <c r="D318" s="2">
        <v>1</v>
      </c>
      <c r="E318" s="14"/>
      <c r="F318" s="1">
        <f t="shared" si="25"/>
        <v>0.75</v>
      </c>
      <c r="G318" s="2" t="s">
        <v>17</v>
      </c>
      <c r="H318" s="2"/>
      <c r="I318" s="2"/>
      <c r="J318" s="2"/>
      <c r="K318" s="2"/>
      <c r="L318" s="2"/>
      <c r="M318" s="10"/>
      <c r="N318" s="10">
        <f t="shared" si="28"/>
        <v>0</v>
      </c>
      <c r="O318" s="2">
        <v>2021</v>
      </c>
    </row>
    <row r="319" spans="1:15" ht="18.75">
      <c r="A319" s="8" t="s">
        <v>610</v>
      </c>
      <c r="B319" s="9" t="s">
        <v>572</v>
      </c>
      <c r="C319" s="13" t="s">
        <v>2161</v>
      </c>
      <c r="D319" s="2">
        <v>1</v>
      </c>
      <c r="E319" s="14" t="s">
        <v>589</v>
      </c>
      <c r="F319" s="1">
        <f t="shared" si="25"/>
        <v>0.5</v>
      </c>
      <c r="G319" s="2" t="s">
        <v>21</v>
      </c>
      <c r="H319" s="2"/>
      <c r="I319" s="2"/>
      <c r="J319" s="2"/>
      <c r="K319" s="2"/>
      <c r="L319" s="2"/>
      <c r="M319" s="10">
        <v>8</v>
      </c>
      <c r="N319" s="10">
        <f t="shared" si="28"/>
        <v>4</v>
      </c>
      <c r="O319" s="2"/>
    </row>
    <row r="320" spans="1:15" s="23" customFormat="1" ht="18.75">
      <c r="A320" s="20" t="s">
        <v>610</v>
      </c>
      <c r="B320" s="9" t="s">
        <v>542</v>
      </c>
      <c r="C320" s="21" t="s">
        <v>2161</v>
      </c>
      <c r="D320" s="21">
        <v>1</v>
      </c>
      <c r="E320" s="21" t="s">
        <v>617</v>
      </c>
      <c r="F320" s="1">
        <f t="shared" si="25"/>
        <v>0.75</v>
      </c>
      <c r="G320" s="21" t="s">
        <v>17</v>
      </c>
      <c r="H320" s="21"/>
      <c r="I320" s="21"/>
      <c r="J320" s="21"/>
      <c r="K320" s="21"/>
      <c r="L320" s="21"/>
      <c r="M320" s="22">
        <v>24</v>
      </c>
      <c r="N320" s="22">
        <v>18</v>
      </c>
      <c r="O320" s="21"/>
    </row>
    <row r="321" spans="1:15" ht="18.75">
      <c r="A321" s="8" t="s">
        <v>610</v>
      </c>
      <c r="B321" s="9" t="s">
        <v>217</v>
      </c>
      <c r="C321" s="13" t="s">
        <v>2161</v>
      </c>
      <c r="D321" s="2">
        <v>1</v>
      </c>
      <c r="E321" s="14" t="s">
        <v>561</v>
      </c>
      <c r="F321" s="1">
        <f t="shared" ref="F321:F352" si="29">IF(G321="fair",0.5,0)+IF(G321="good",0.75,0)+IF(G321="poor",0.25,0)+IF(G321="like new",0.9,0)+IF(G321="new",1,0)</f>
        <v>0.75</v>
      </c>
      <c r="G321" s="2" t="s">
        <v>17</v>
      </c>
      <c r="H321" s="2"/>
      <c r="I321" s="2"/>
      <c r="J321" s="2"/>
      <c r="K321" s="2"/>
      <c r="L321" s="2"/>
      <c r="M321" s="10">
        <v>15</v>
      </c>
      <c r="N321" s="10">
        <f t="shared" ref="N321:N329" si="30">F321*M321</f>
        <v>11.25</v>
      </c>
      <c r="O321" s="2"/>
    </row>
    <row r="322" spans="1:15" ht="18.75">
      <c r="A322" s="8" t="s">
        <v>611</v>
      </c>
      <c r="B322" s="9" t="s">
        <v>1319</v>
      </c>
      <c r="C322" s="13" t="s">
        <v>2161</v>
      </c>
      <c r="D322" s="2">
        <v>1</v>
      </c>
      <c r="E322" s="14" t="s">
        <v>602</v>
      </c>
      <c r="F322" s="1">
        <f t="shared" si="29"/>
        <v>0.75</v>
      </c>
      <c r="G322" s="2" t="s">
        <v>17</v>
      </c>
      <c r="H322" s="14" t="s">
        <v>593</v>
      </c>
      <c r="I322" s="2" t="s">
        <v>594</v>
      </c>
      <c r="J322" s="2"/>
      <c r="K322" s="2"/>
      <c r="L322" s="2"/>
      <c r="M322" s="10">
        <v>27</v>
      </c>
      <c r="N322" s="10">
        <f t="shared" si="30"/>
        <v>20.25</v>
      </c>
      <c r="O322" s="2"/>
    </row>
    <row r="323" spans="1:15" ht="18.75">
      <c r="A323" s="8" t="s">
        <v>611</v>
      </c>
      <c r="B323" s="9" t="s">
        <v>134</v>
      </c>
      <c r="C323" s="13" t="s">
        <v>2057</v>
      </c>
      <c r="D323" s="2">
        <v>1</v>
      </c>
      <c r="E323" s="14"/>
      <c r="F323" s="1">
        <f t="shared" si="29"/>
        <v>0.5</v>
      </c>
      <c r="G323" s="2" t="s">
        <v>21</v>
      </c>
      <c r="H323" s="2"/>
      <c r="I323" s="2"/>
      <c r="J323" s="2"/>
      <c r="K323" s="2"/>
      <c r="L323" s="2"/>
      <c r="M323" s="10">
        <v>70</v>
      </c>
      <c r="N323" s="10">
        <f t="shared" si="30"/>
        <v>35</v>
      </c>
      <c r="O323" s="2"/>
    </row>
    <row r="324" spans="1:15" ht="18.75">
      <c r="A324" s="8" t="s">
        <v>611</v>
      </c>
      <c r="B324" s="9" t="s">
        <v>573</v>
      </c>
      <c r="C324" s="13" t="s">
        <v>2161</v>
      </c>
      <c r="D324" s="2">
        <v>1</v>
      </c>
      <c r="E324" s="14"/>
      <c r="F324" s="1">
        <f t="shared" si="29"/>
        <v>0.5</v>
      </c>
      <c r="G324" s="2" t="s">
        <v>21</v>
      </c>
      <c r="H324" s="2"/>
      <c r="I324" s="2"/>
      <c r="J324" s="2"/>
      <c r="K324" s="2"/>
      <c r="L324" s="2"/>
      <c r="M324" s="10">
        <v>18</v>
      </c>
      <c r="N324" s="10">
        <f t="shared" si="30"/>
        <v>9</v>
      </c>
      <c r="O324" s="2"/>
    </row>
    <row r="325" spans="1:15" ht="18.75">
      <c r="A325" s="8" t="s">
        <v>611</v>
      </c>
      <c r="B325" s="9" t="s">
        <v>590</v>
      </c>
      <c r="C325" s="13" t="s">
        <v>2161</v>
      </c>
      <c r="D325" s="2">
        <v>1</v>
      </c>
      <c r="E325" s="14"/>
      <c r="F325" s="1">
        <f t="shared" si="29"/>
        <v>0.75</v>
      </c>
      <c r="G325" s="2" t="s">
        <v>17</v>
      </c>
      <c r="H325" s="2"/>
      <c r="I325" s="2"/>
      <c r="J325" s="2"/>
      <c r="K325" s="2"/>
      <c r="L325" s="2"/>
      <c r="M325" s="10"/>
      <c r="N325" s="10">
        <f t="shared" si="30"/>
        <v>0</v>
      </c>
      <c r="O325" s="2">
        <v>2021</v>
      </c>
    </row>
    <row r="326" spans="1:15" ht="18.75">
      <c r="A326" s="8" t="s">
        <v>611</v>
      </c>
      <c r="B326" s="9" t="s">
        <v>587</v>
      </c>
      <c r="C326" s="13" t="s">
        <v>2161</v>
      </c>
      <c r="D326" s="2">
        <v>1</v>
      </c>
      <c r="E326" s="14"/>
      <c r="F326" s="1">
        <f t="shared" si="29"/>
        <v>0.5</v>
      </c>
      <c r="G326" s="2" t="s">
        <v>21</v>
      </c>
      <c r="H326" s="2"/>
      <c r="I326" s="2"/>
      <c r="J326" s="2"/>
      <c r="K326" s="2"/>
      <c r="L326" s="2"/>
      <c r="M326" s="10"/>
      <c r="N326" s="10">
        <f t="shared" si="30"/>
        <v>0</v>
      </c>
      <c r="O326" s="2"/>
    </row>
    <row r="327" spans="1:15" ht="18.75">
      <c r="A327" s="8" t="s">
        <v>611</v>
      </c>
      <c r="B327" s="9" t="s">
        <v>570</v>
      </c>
      <c r="C327" s="13" t="s">
        <v>2161</v>
      </c>
      <c r="D327" s="2">
        <v>1</v>
      </c>
      <c r="E327" s="14" t="s">
        <v>588</v>
      </c>
      <c r="F327" s="1">
        <f t="shared" si="29"/>
        <v>0.5</v>
      </c>
      <c r="G327" s="2" t="s">
        <v>21</v>
      </c>
      <c r="H327" s="2"/>
      <c r="I327" s="2"/>
      <c r="J327" s="2"/>
      <c r="K327" s="2"/>
      <c r="L327" s="2"/>
      <c r="M327" s="10">
        <v>20</v>
      </c>
      <c r="N327" s="10">
        <f t="shared" si="30"/>
        <v>10</v>
      </c>
      <c r="O327" s="2">
        <v>2018</v>
      </c>
    </row>
    <row r="328" spans="1:15" ht="18.75">
      <c r="A328" s="8" t="s">
        <v>611</v>
      </c>
      <c r="B328" s="9" t="s">
        <v>572</v>
      </c>
      <c r="C328" s="13" t="s">
        <v>2161</v>
      </c>
      <c r="D328" s="2">
        <v>1</v>
      </c>
      <c r="E328" s="14" t="s">
        <v>589</v>
      </c>
      <c r="F328" s="1">
        <f t="shared" si="29"/>
        <v>0.5</v>
      </c>
      <c r="G328" s="2" t="s">
        <v>21</v>
      </c>
      <c r="H328" s="2"/>
      <c r="I328" s="2"/>
      <c r="J328" s="2"/>
      <c r="K328" s="2"/>
      <c r="L328" s="2"/>
      <c r="M328" s="10">
        <v>8</v>
      </c>
      <c r="N328" s="10">
        <f t="shared" si="30"/>
        <v>4</v>
      </c>
      <c r="O328" s="2"/>
    </row>
    <row r="329" spans="1:15" ht="18.75">
      <c r="A329" s="8" t="s">
        <v>611</v>
      </c>
      <c r="B329" s="9" t="s">
        <v>591</v>
      </c>
      <c r="C329" s="13" t="s">
        <v>2161</v>
      </c>
      <c r="D329" s="2">
        <v>1</v>
      </c>
      <c r="E329" s="14" t="s">
        <v>592</v>
      </c>
      <c r="F329" s="1">
        <f t="shared" si="29"/>
        <v>0.5</v>
      </c>
      <c r="G329" s="2" t="s">
        <v>21</v>
      </c>
      <c r="H329" s="2"/>
      <c r="I329" s="2"/>
      <c r="J329" s="2"/>
      <c r="K329" s="2"/>
      <c r="L329" s="2"/>
      <c r="M329" s="10">
        <v>12</v>
      </c>
      <c r="N329" s="10">
        <f t="shared" si="30"/>
        <v>6</v>
      </c>
      <c r="O329" s="2"/>
    </row>
    <row r="330" spans="1:15" s="23" customFormat="1" ht="18.75">
      <c r="A330" s="20" t="s">
        <v>611</v>
      </c>
      <c r="B330" s="9" t="s">
        <v>542</v>
      </c>
      <c r="C330" s="21" t="s">
        <v>2161</v>
      </c>
      <c r="D330" s="21">
        <v>1</v>
      </c>
      <c r="E330" s="21" t="s">
        <v>617</v>
      </c>
      <c r="F330" s="1">
        <f t="shared" si="29"/>
        <v>0.75</v>
      </c>
      <c r="G330" s="21" t="s">
        <v>17</v>
      </c>
      <c r="H330" s="21"/>
      <c r="I330" s="21"/>
      <c r="J330" s="21"/>
      <c r="K330" s="21"/>
      <c r="L330" s="21"/>
      <c r="M330" s="22">
        <v>24</v>
      </c>
      <c r="N330" s="22">
        <v>18</v>
      </c>
      <c r="O330" s="21"/>
    </row>
    <row r="331" spans="1:15" ht="18.75">
      <c r="A331" s="8" t="s">
        <v>611</v>
      </c>
      <c r="B331" s="9" t="s">
        <v>217</v>
      </c>
      <c r="C331" s="13" t="s">
        <v>2161</v>
      </c>
      <c r="D331" s="2">
        <v>1</v>
      </c>
      <c r="E331" s="14" t="s">
        <v>561</v>
      </c>
      <c r="F331" s="1">
        <f t="shared" si="29"/>
        <v>0.75</v>
      </c>
      <c r="G331" s="2" t="s">
        <v>17</v>
      </c>
      <c r="H331" s="2"/>
      <c r="I331" s="2"/>
      <c r="J331" s="2"/>
      <c r="K331" s="2"/>
      <c r="L331" s="2"/>
      <c r="M331" s="10">
        <v>15</v>
      </c>
      <c r="N331" s="10">
        <f t="shared" ref="N331:N343" si="31">F331*M331</f>
        <v>11.25</v>
      </c>
      <c r="O331" s="2"/>
    </row>
    <row r="332" spans="1:15" ht="18.75" customHeight="1">
      <c r="A332" s="8" t="s">
        <v>630</v>
      </c>
      <c r="B332" s="9" t="s">
        <v>578</v>
      </c>
      <c r="C332" s="13" t="s">
        <v>2161</v>
      </c>
      <c r="D332" s="2">
        <v>3</v>
      </c>
      <c r="E332" s="14"/>
      <c r="F332" s="1">
        <f t="shared" si="29"/>
        <v>0.25</v>
      </c>
      <c r="G332" s="2" t="s">
        <v>143</v>
      </c>
      <c r="H332" s="14" t="s">
        <v>580</v>
      </c>
      <c r="I332" s="2"/>
      <c r="J332" s="2"/>
      <c r="K332" s="2">
        <v>87</v>
      </c>
      <c r="L332" s="2">
        <v>37</v>
      </c>
      <c r="M332" s="10">
        <f>300*3</f>
        <v>900</v>
      </c>
      <c r="N332" s="10">
        <f t="shared" si="31"/>
        <v>225</v>
      </c>
      <c r="O332" s="2"/>
    </row>
    <row r="333" spans="1:15" ht="18.75">
      <c r="A333" s="8" t="s">
        <v>630</v>
      </c>
      <c r="B333" s="9" t="s">
        <v>581</v>
      </c>
      <c r="C333" s="13" t="s">
        <v>2161</v>
      </c>
      <c r="D333" s="2">
        <v>3</v>
      </c>
      <c r="E333" s="14" t="s">
        <v>582</v>
      </c>
      <c r="F333" s="1">
        <f t="shared" si="29"/>
        <v>0.25</v>
      </c>
      <c r="G333" s="2" t="s">
        <v>143</v>
      </c>
      <c r="H333" s="14"/>
      <c r="I333" s="2"/>
      <c r="J333" s="2"/>
      <c r="K333" s="2">
        <v>87</v>
      </c>
      <c r="L333" s="2">
        <v>37</v>
      </c>
      <c r="M333" s="10">
        <f>100*3</f>
        <v>300</v>
      </c>
      <c r="N333" s="10">
        <f t="shared" si="31"/>
        <v>75</v>
      </c>
      <c r="O333" s="2"/>
    </row>
    <row r="334" spans="1:15" ht="18.75">
      <c r="A334" s="8" t="s">
        <v>630</v>
      </c>
      <c r="B334" s="9" t="s">
        <v>560</v>
      </c>
      <c r="C334" s="13" t="s">
        <v>2161</v>
      </c>
      <c r="D334" s="2">
        <v>1</v>
      </c>
      <c r="E334" s="14" t="s">
        <v>604</v>
      </c>
      <c r="F334" s="1">
        <f t="shared" si="29"/>
        <v>0.75</v>
      </c>
      <c r="G334" s="2" t="s">
        <v>17</v>
      </c>
      <c r="H334" s="14" t="s">
        <v>605</v>
      </c>
      <c r="I334" s="2"/>
      <c r="J334" s="2"/>
      <c r="K334" s="2"/>
      <c r="L334" s="2"/>
      <c r="M334" s="10">
        <v>15</v>
      </c>
      <c r="N334" s="10">
        <f t="shared" si="31"/>
        <v>11.25</v>
      </c>
      <c r="O334" s="2">
        <v>2015</v>
      </c>
    </row>
    <row r="335" spans="1:15" ht="18.75">
      <c r="A335" s="8" t="s">
        <v>630</v>
      </c>
      <c r="B335" s="9" t="s">
        <v>585</v>
      </c>
      <c r="C335" s="13" t="s">
        <v>2161</v>
      </c>
      <c r="D335" s="2">
        <v>3</v>
      </c>
      <c r="E335" s="14" t="s">
        <v>2324</v>
      </c>
      <c r="F335" s="1">
        <f t="shared" si="29"/>
        <v>0.75</v>
      </c>
      <c r="G335" s="2" t="s">
        <v>17</v>
      </c>
      <c r="H335" s="2"/>
      <c r="I335" s="2"/>
      <c r="J335" s="2"/>
      <c r="K335" s="2"/>
      <c r="L335" s="2"/>
      <c r="M335" s="10">
        <f>3*20</f>
        <v>60</v>
      </c>
      <c r="N335" s="10">
        <f t="shared" si="31"/>
        <v>45</v>
      </c>
      <c r="O335" s="2"/>
    </row>
    <row r="336" spans="1:15" ht="18.75">
      <c r="A336" s="8" t="s">
        <v>630</v>
      </c>
      <c r="B336" s="9" t="s">
        <v>134</v>
      </c>
      <c r="C336" s="13" t="s">
        <v>2057</v>
      </c>
      <c r="D336" s="2">
        <v>1</v>
      </c>
      <c r="E336" s="14"/>
      <c r="F336" s="1">
        <f t="shared" si="29"/>
        <v>0.75</v>
      </c>
      <c r="G336" s="2" t="s">
        <v>16</v>
      </c>
      <c r="H336" s="2"/>
      <c r="I336" s="2"/>
      <c r="J336" s="2"/>
      <c r="K336" s="2"/>
      <c r="L336" s="2"/>
      <c r="M336" s="10">
        <v>70</v>
      </c>
      <c r="N336" s="10">
        <f t="shared" si="31"/>
        <v>52.5</v>
      </c>
      <c r="O336" s="2"/>
    </row>
    <row r="337" spans="1:15" ht="18.75">
      <c r="A337" s="8" t="s">
        <v>630</v>
      </c>
      <c r="B337" s="9" t="s">
        <v>573</v>
      </c>
      <c r="C337" s="13" t="s">
        <v>2161</v>
      </c>
      <c r="D337" s="2">
        <v>1</v>
      </c>
      <c r="E337" s="14"/>
      <c r="F337" s="1">
        <f t="shared" si="29"/>
        <v>0.5</v>
      </c>
      <c r="G337" s="2" t="s">
        <v>21</v>
      </c>
      <c r="H337" s="2"/>
      <c r="I337" s="2"/>
      <c r="J337" s="2"/>
      <c r="K337" s="2"/>
      <c r="L337" s="2"/>
      <c r="M337" s="10">
        <v>18</v>
      </c>
      <c r="N337" s="10">
        <f t="shared" si="31"/>
        <v>9</v>
      </c>
      <c r="O337" s="2"/>
    </row>
    <row r="338" spans="1:15" ht="18.75">
      <c r="A338" s="8" t="s">
        <v>630</v>
      </c>
      <c r="B338" s="9" t="s">
        <v>587</v>
      </c>
      <c r="C338" s="13" t="s">
        <v>2161</v>
      </c>
      <c r="D338" s="2">
        <v>1</v>
      </c>
      <c r="E338" s="14"/>
      <c r="F338" s="1">
        <f t="shared" si="29"/>
        <v>0.5</v>
      </c>
      <c r="G338" s="2" t="s">
        <v>21</v>
      </c>
      <c r="H338" s="2"/>
      <c r="I338" s="2"/>
      <c r="J338" s="2"/>
      <c r="K338" s="2"/>
      <c r="L338" s="2"/>
      <c r="M338" s="10"/>
      <c r="N338" s="10">
        <f t="shared" si="31"/>
        <v>0</v>
      </c>
      <c r="O338" s="2"/>
    </row>
    <row r="339" spans="1:15" ht="18.75">
      <c r="A339" s="8" t="s">
        <v>630</v>
      </c>
      <c r="B339" s="9" t="s">
        <v>590</v>
      </c>
      <c r="C339" s="13" t="s">
        <v>2161</v>
      </c>
      <c r="D339" s="2">
        <v>1</v>
      </c>
      <c r="E339" s="14"/>
      <c r="F339" s="1">
        <f t="shared" si="29"/>
        <v>0.75</v>
      </c>
      <c r="G339" s="2" t="s">
        <v>17</v>
      </c>
      <c r="H339" s="2"/>
      <c r="I339" s="2"/>
      <c r="J339" s="2"/>
      <c r="K339" s="2"/>
      <c r="L339" s="2"/>
      <c r="M339" s="10"/>
      <c r="N339" s="10">
        <f t="shared" si="31"/>
        <v>0</v>
      </c>
      <c r="O339" s="2">
        <v>2021</v>
      </c>
    </row>
    <row r="340" spans="1:15" ht="18.75">
      <c r="A340" s="8" t="s">
        <v>630</v>
      </c>
      <c r="B340" s="9" t="s">
        <v>570</v>
      </c>
      <c r="C340" s="13" t="s">
        <v>2161</v>
      </c>
      <c r="D340" s="2">
        <v>1</v>
      </c>
      <c r="E340" s="14" t="s">
        <v>588</v>
      </c>
      <c r="F340" s="1">
        <f t="shared" si="29"/>
        <v>0.5</v>
      </c>
      <c r="G340" s="2" t="s">
        <v>21</v>
      </c>
      <c r="H340" s="2"/>
      <c r="I340" s="2"/>
      <c r="J340" s="2"/>
      <c r="K340" s="2"/>
      <c r="L340" s="2"/>
      <c r="M340" s="10">
        <v>20</v>
      </c>
      <c r="N340" s="10">
        <f t="shared" si="31"/>
        <v>10</v>
      </c>
      <c r="O340" s="2">
        <v>2018</v>
      </c>
    </row>
    <row r="341" spans="1:15" ht="18.75">
      <c r="A341" s="8" t="s">
        <v>630</v>
      </c>
      <c r="B341" s="9" t="s">
        <v>572</v>
      </c>
      <c r="C341" s="13" t="s">
        <v>2161</v>
      </c>
      <c r="D341" s="2">
        <v>1</v>
      </c>
      <c r="E341" s="14" t="s">
        <v>589</v>
      </c>
      <c r="F341" s="1">
        <f t="shared" si="29"/>
        <v>0.5</v>
      </c>
      <c r="G341" s="2" t="s">
        <v>21</v>
      </c>
      <c r="H341" s="2"/>
      <c r="I341" s="2"/>
      <c r="J341" s="2"/>
      <c r="K341" s="2"/>
      <c r="L341" s="2"/>
      <c r="M341" s="10">
        <v>8</v>
      </c>
      <c r="N341" s="10">
        <f t="shared" si="31"/>
        <v>4</v>
      </c>
      <c r="O341" s="2"/>
    </row>
    <row r="342" spans="1:15" ht="18.75">
      <c r="A342" s="8" t="s">
        <v>630</v>
      </c>
      <c r="B342" s="9" t="s">
        <v>591</v>
      </c>
      <c r="C342" s="13" t="s">
        <v>2161</v>
      </c>
      <c r="D342" s="2">
        <v>1</v>
      </c>
      <c r="E342" s="14" t="s">
        <v>606</v>
      </c>
      <c r="F342" s="1">
        <f t="shared" si="29"/>
        <v>0.5</v>
      </c>
      <c r="G342" s="2" t="s">
        <v>21</v>
      </c>
      <c r="H342" s="2"/>
      <c r="I342" s="2"/>
      <c r="J342" s="2"/>
      <c r="K342" s="2"/>
      <c r="L342" s="2"/>
      <c r="M342" s="10">
        <v>12</v>
      </c>
      <c r="N342" s="10">
        <f t="shared" si="31"/>
        <v>6</v>
      </c>
      <c r="O342" s="2"/>
    </row>
    <row r="343" spans="1:15" ht="18.75">
      <c r="A343" s="8" t="s">
        <v>630</v>
      </c>
      <c r="B343" s="9" t="s">
        <v>217</v>
      </c>
      <c r="C343" s="13" t="s">
        <v>2161</v>
      </c>
      <c r="D343" s="28">
        <v>1</v>
      </c>
      <c r="E343" s="14" t="s">
        <v>561</v>
      </c>
      <c r="F343" s="1">
        <f t="shared" si="29"/>
        <v>0.75</v>
      </c>
      <c r="G343" s="2" t="s">
        <v>17</v>
      </c>
      <c r="H343" s="2"/>
      <c r="I343" s="2"/>
      <c r="J343" s="2"/>
      <c r="K343" s="2"/>
      <c r="L343" s="2"/>
      <c r="M343" s="10">
        <v>15</v>
      </c>
      <c r="N343" s="10">
        <f t="shared" si="31"/>
        <v>11.25</v>
      </c>
      <c r="O343" s="2"/>
    </row>
    <row r="344" spans="1:15" s="23" customFormat="1" ht="18.75">
      <c r="A344" s="20" t="s">
        <v>630</v>
      </c>
      <c r="B344" s="27" t="s">
        <v>542</v>
      </c>
      <c r="C344" s="36" t="s">
        <v>2161</v>
      </c>
      <c r="D344" s="36">
        <v>1</v>
      </c>
      <c r="E344" s="21" t="s">
        <v>617</v>
      </c>
      <c r="F344" s="1">
        <f t="shared" si="29"/>
        <v>0.75</v>
      </c>
      <c r="G344" s="21" t="s">
        <v>17</v>
      </c>
      <c r="H344" s="21"/>
      <c r="I344" s="21"/>
      <c r="J344" s="21"/>
      <c r="K344" s="21"/>
      <c r="L344" s="21"/>
      <c r="M344" s="22">
        <v>24</v>
      </c>
      <c r="N344" s="22">
        <v>18</v>
      </c>
      <c r="O344" s="21"/>
    </row>
    <row r="345" spans="1:15" s="23" customFormat="1">
      <c r="A345" s="38"/>
      <c r="B345" s="39"/>
      <c r="C345" s="40"/>
      <c r="D345" s="40"/>
      <c r="E345" s="20"/>
      <c r="F345" s="20"/>
      <c r="G345" s="20"/>
      <c r="H345" s="20"/>
      <c r="I345" s="20"/>
      <c r="J345" s="20"/>
      <c r="K345" s="20"/>
      <c r="L345" s="20"/>
      <c r="M345" s="41"/>
      <c r="N345" s="41"/>
      <c r="O345" s="20"/>
    </row>
    <row r="346" spans="1:15">
      <c r="A346" s="11" t="s">
        <v>2162</v>
      </c>
      <c r="D346" s="42"/>
    </row>
    <row r="347" spans="1:15" ht="18" customHeight="1">
      <c r="A347" s="18">
        <v>25</v>
      </c>
      <c r="B347" s="37" t="s">
        <v>638</v>
      </c>
      <c r="C347" s="13" t="s">
        <v>2161</v>
      </c>
      <c r="D347" s="30">
        <v>2</v>
      </c>
      <c r="E347" s="14" t="s">
        <v>639</v>
      </c>
      <c r="F347" s="1">
        <f t="shared" ref="F347:F378" si="32">IF(G347="fair",0.5,0)+IF(G347="good",0.75,0)+IF(G347="poor",0.25,0)+IF(G347="like new",0.9,0)+IF(G347="new",1,0)</f>
        <v>0.25</v>
      </c>
      <c r="G347" s="2" t="s">
        <v>46</v>
      </c>
      <c r="H347" s="14"/>
      <c r="I347" s="2"/>
      <c r="J347" s="2"/>
      <c r="K347" s="2">
        <v>82</v>
      </c>
      <c r="L347" s="2">
        <v>37</v>
      </c>
      <c r="M347" s="43">
        <f>300*2</f>
        <v>600</v>
      </c>
      <c r="N347" s="43">
        <f t="shared" ref="N347:N378" si="33">F347*M347</f>
        <v>150</v>
      </c>
      <c r="O347" s="2"/>
    </row>
    <row r="348" spans="1:15" ht="18" customHeight="1">
      <c r="A348" s="18">
        <v>25</v>
      </c>
      <c r="B348" s="37" t="s">
        <v>640</v>
      </c>
      <c r="C348" s="13" t="s">
        <v>2161</v>
      </c>
      <c r="D348" s="2">
        <v>2</v>
      </c>
      <c r="E348" s="14" t="s">
        <v>641</v>
      </c>
      <c r="F348" s="1">
        <f t="shared" si="32"/>
        <v>0.25</v>
      </c>
      <c r="G348" s="2" t="s">
        <v>46</v>
      </c>
      <c r="H348" s="14"/>
      <c r="I348" s="2"/>
      <c r="J348" s="2"/>
      <c r="K348" s="2">
        <v>82</v>
      </c>
      <c r="L348" s="2">
        <v>37</v>
      </c>
      <c r="M348" s="43">
        <f>100*2</f>
        <v>200</v>
      </c>
      <c r="N348" s="43">
        <f t="shared" si="33"/>
        <v>50</v>
      </c>
      <c r="O348" s="2"/>
    </row>
    <row r="349" spans="1:15" ht="18" customHeight="1">
      <c r="A349" s="18">
        <v>25</v>
      </c>
      <c r="B349" s="37" t="s">
        <v>296</v>
      </c>
      <c r="C349" s="2" t="s">
        <v>2161</v>
      </c>
      <c r="D349" s="2">
        <v>1</v>
      </c>
      <c r="E349" s="2" t="s">
        <v>561</v>
      </c>
      <c r="F349" s="1">
        <f t="shared" si="32"/>
        <v>0.75</v>
      </c>
      <c r="G349" s="2" t="s">
        <v>17</v>
      </c>
      <c r="H349" s="14" t="s">
        <v>563</v>
      </c>
      <c r="I349" s="2" t="s">
        <v>643</v>
      </c>
      <c r="J349" s="2"/>
      <c r="K349" s="2">
        <v>13</v>
      </c>
      <c r="L349" s="2">
        <v>19</v>
      </c>
      <c r="M349" s="43">
        <v>115</v>
      </c>
      <c r="N349" s="43">
        <f t="shared" si="33"/>
        <v>86.25</v>
      </c>
      <c r="O349" s="2">
        <v>2015</v>
      </c>
    </row>
    <row r="350" spans="1:15" ht="18" customHeight="1">
      <c r="A350" s="18">
        <v>25</v>
      </c>
      <c r="B350" s="37" t="s">
        <v>644</v>
      </c>
      <c r="C350" s="2" t="s">
        <v>2161</v>
      </c>
      <c r="D350" s="2">
        <v>1</v>
      </c>
      <c r="E350" s="2" t="s">
        <v>561</v>
      </c>
      <c r="F350" s="1">
        <f t="shared" si="32"/>
        <v>0.5</v>
      </c>
      <c r="G350" s="2" t="s">
        <v>21</v>
      </c>
      <c r="H350" s="14" t="s">
        <v>41</v>
      </c>
      <c r="I350" s="2"/>
      <c r="J350" s="2"/>
      <c r="K350" s="2">
        <v>19</v>
      </c>
      <c r="L350" s="2">
        <v>32</v>
      </c>
      <c r="M350" s="43">
        <v>158</v>
      </c>
      <c r="N350" s="43">
        <f t="shared" si="33"/>
        <v>79</v>
      </c>
      <c r="O350" s="2">
        <v>2019</v>
      </c>
    </row>
    <row r="351" spans="1:15" ht="18" customHeight="1">
      <c r="A351" s="18">
        <v>25</v>
      </c>
      <c r="B351" s="37" t="s">
        <v>645</v>
      </c>
      <c r="C351" s="2" t="s">
        <v>2161</v>
      </c>
      <c r="D351" s="2">
        <v>1</v>
      </c>
      <c r="E351" s="2" t="s">
        <v>646</v>
      </c>
      <c r="F351" s="1">
        <f t="shared" si="32"/>
        <v>0.75</v>
      </c>
      <c r="G351" s="2" t="s">
        <v>17</v>
      </c>
      <c r="H351" s="14" t="s">
        <v>290</v>
      </c>
      <c r="I351" s="2" t="s">
        <v>647</v>
      </c>
      <c r="J351" s="2"/>
      <c r="K351" s="2"/>
      <c r="L351" s="2"/>
      <c r="M351" s="43">
        <v>40</v>
      </c>
      <c r="N351" s="43">
        <f t="shared" si="33"/>
        <v>30</v>
      </c>
      <c r="O351" s="2">
        <v>2016</v>
      </c>
    </row>
    <row r="352" spans="1:15" ht="18" customHeight="1">
      <c r="A352" s="18">
        <v>25</v>
      </c>
      <c r="B352" s="37" t="s">
        <v>648</v>
      </c>
      <c r="C352" s="2" t="s">
        <v>2161</v>
      </c>
      <c r="D352" s="2">
        <v>1</v>
      </c>
      <c r="E352" s="2" t="s">
        <v>649</v>
      </c>
      <c r="F352" s="1">
        <f t="shared" si="32"/>
        <v>0.5</v>
      </c>
      <c r="G352" s="2" t="s">
        <v>29</v>
      </c>
      <c r="H352" s="14"/>
      <c r="I352" s="2"/>
      <c r="J352" s="2"/>
      <c r="K352" s="2">
        <v>16</v>
      </c>
      <c r="L352" s="2">
        <v>8</v>
      </c>
      <c r="M352" s="43">
        <v>10</v>
      </c>
      <c r="N352" s="43">
        <f t="shared" si="33"/>
        <v>5</v>
      </c>
      <c r="O352" s="2"/>
    </row>
    <row r="353" spans="1:15" ht="18" customHeight="1">
      <c r="A353" s="18">
        <v>25</v>
      </c>
      <c r="B353" s="37" t="s">
        <v>650</v>
      </c>
      <c r="C353" s="2" t="s">
        <v>2161</v>
      </c>
      <c r="D353" s="2">
        <v>1</v>
      </c>
      <c r="E353" s="2" t="s">
        <v>651</v>
      </c>
      <c r="F353" s="1">
        <f t="shared" si="32"/>
        <v>0.5</v>
      </c>
      <c r="G353" s="2" t="s">
        <v>21</v>
      </c>
      <c r="H353" s="14"/>
      <c r="I353" s="2"/>
      <c r="J353" s="2"/>
      <c r="K353" s="2">
        <v>16</v>
      </c>
      <c r="L353" s="2">
        <v>28</v>
      </c>
      <c r="M353" s="43">
        <v>20</v>
      </c>
      <c r="N353" s="43">
        <f t="shared" si="33"/>
        <v>10</v>
      </c>
      <c r="O353" s="2">
        <v>2018</v>
      </c>
    </row>
    <row r="354" spans="1:15" ht="18" customHeight="1">
      <c r="A354" s="18">
        <v>25</v>
      </c>
      <c r="B354" s="37" t="s">
        <v>652</v>
      </c>
      <c r="C354" s="2" t="s">
        <v>2161</v>
      </c>
      <c r="D354" s="2">
        <v>1</v>
      </c>
      <c r="E354" s="2" t="s">
        <v>2103</v>
      </c>
      <c r="F354" s="1">
        <f t="shared" si="32"/>
        <v>0.75</v>
      </c>
      <c r="G354" s="2" t="s">
        <v>17</v>
      </c>
      <c r="H354" s="14" t="s">
        <v>295</v>
      </c>
      <c r="I354" s="2" t="s">
        <v>654</v>
      </c>
      <c r="J354" s="2"/>
      <c r="K354" s="2" t="s">
        <v>655</v>
      </c>
      <c r="L354" s="2"/>
      <c r="M354" s="43">
        <v>79</v>
      </c>
      <c r="N354" s="43">
        <f t="shared" si="33"/>
        <v>59.25</v>
      </c>
      <c r="O354" s="2">
        <v>2018</v>
      </c>
    </row>
    <row r="355" spans="1:15" ht="18" customHeight="1">
      <c r="A355" s="18">
        <v>25</v>
      </c>
      <c r="B355" s="37" t="s">
        <v>656</v>
      </c>
      <c r="C355" s="2" t="s">
        <v>2161</v>
      </c>
      <c r="D355" s="2">
        <v>1</v>
      </c>
      <c r="E355" s="2" t="s">
        <v>657</v>
      </c>
      <c r="F355" s="1">
        <f t="shared" si="32"/>
        <v>0.75</v>
      </c>
      <c r="G355" s="2" t="s">
        <v>17</v>
      </c>
      <c r="H355" s="14" t="s">
        <v>658</v>
      </c>
      <c r="I355" s="2" t="s">
        <v>659</v>
      </c>
      <c r="J355" s="2"/>
      <c r="K355" s="2">
        <v>9</v>
      </c>
      <c r="L355" s="2">
        <v>7</v>
      </c>
      <c r="M355" s="43">
        <v>90</v>
      </c>
      <c r="N355" s="43">
        <f t="shared" si="33"/>
        <v>67.5</v>
      </c>
      <c r="O355" s="2">
        <v>2018</v>
      </c>
    </row>
    <row r="356" spans="1:15" ht="18" customHeight="1">
      <c r="A356" s="18">
        <v>25</v>
      </c>
      <c r="B356" s="37" t="s">
        <v>660</v>
      </c>
      <c r="C356" s="2" t="s">
        <v>2161</v>
      </c>
      <c r="D356" s="2">
        <v>1</v>
      </c>
      <c r="E356" s="2" t="s">
        <v>661</v>
      </c>
      <c r="F356" s="1">
        <f t="shared" si="32"/>
        <v>0.75</v>
      </c>
      <c r="G356" s="2" t="s">
        <v>17</v>
      </c>
      <c r="H356" s="14" t="s">
        <v>662</v>
      </c>
      <c r="I356" s="2"/>
      <c r="J356" s="2"/>
      <c r="K356" s="2">
        <v>39</v>
      </c>
      <c r="L356" s="2">
        <v>18</v>
      </c>
      <c r="M356" s="43">
        <v>150</v>
      </c>
      <c r="N356" s="43">
        <f t="shared" si="33"/>
        <v>112.5</v>
      </c>
      <c r="O356" s="2">
        <v>2016</v>
      </c>
    </row>
    <row r="357" spans="1:15" ht="18" customHeight="1">
      <c r="A357" s="18">
        <v>25</v>
      </c>
      <c r="B357" s="37" t="s">
        <v>560</v>
      </c>
      <c r="C357" s="2" t="s">
        <v>2161</v>
      </c>
      <c r="D357" s="2">
        <v>1</v>
      </c>
      <c r="E357" s="2" t="s">
        <v>663</v>
      </c>
      <c r="F357" s="1">
        <f t="shared" si="32"/>
        <v>0.5</v>
      </c>
      <c r="G357" s="2" t="s">
        <v>21</v>
      </c>
      <c r="H357" s="14" t="s">
        <v>605</v>
      </c>
      <c r="I357" s="2"/>
      <c r="J357" s="2"/>
      <c r="K357" s="2"/>
      <c r="L357" s="2"/>
      <c r="M357" s="43">
        <v>15</v>
      </c>
      <c r="N357" s="43">
        <f t="shared" si="33"/>
        <v>7.5</v>
      </c>
      <c r="O357" s="2">
        <v>2015</v>
      </c>
    </row>
    <row r="358" spans="1:15" ht="18" customHeight="1">
      <c r="A358" s="18">
        <v>25</v>
      </c>
      <c r="B358" s="37" t="s">
        <v>664</v>
      </c>
      <c r="C358" s="2" t="s">
        <v>2161</v>
      </c>
      <c r="D358" s="2">
        <v>3</v>
      </c>
      <c r="E358" s="2" t="s">
        <v>682</v>
      </c>
      <c r="F358" s="1">
        <f t="shared" si="32"/>
        <v>0.75</v>
      </c>
      <c r="G358" s="2" t="s">
        <v>17</v>
      </c>
      <c r="H358" s="14"/>
      <c r="I358" s="2"/>
      <c r="J358" s="2"/>
      <c r="K358" s="2">
        <v>12</v>
      </c>
      <c r="L358" s="2">
        <v>36</v>
      </c>
      <c r="M358" s="43">
        <f>10*3</f>
        <v>30</v>
      </c>
      <c r="N358" s="43">
        <f t="shared" si="33"/>
        <v>22.5</v>
      </c>
      <c r="O358" s="2"/>
    </row>
    <row r="359" spans="1:15" ht="18.75">
      <c r="A359" s="18">
        <v>25</v>
      </c>
      <c r="B359" s="37" t="s">
        <v>585</v>
      </c>
      <c r="C359" s="2" t="s">
        <v>2161</v>
      </c>
      <c r="D359" s="2">
        <v>2</v>
      </c>
      <c r="E359" s="2" t="s">
        <v>665</v>
      </c>
      <c r="F359" s="1">
        <f t="shared" si="32"/>
        <v>0.5</v>
      </c>
      <c r="G359" s="2" t="s">
        <v>29</v>
      </c>
      <c r="H359" s="14"/>
      <c r="I359" s="2"/>
      <c r="J359" s="2"/>
      <c r="K359" s="2"/>
      <c r="L359" s="2"/>
      <c r="M359" s="43">
        <f>20*2</f>
        <v>40</v>
      </c>
      <c r="N359" s="43">
        <f t="shared" si="33"/>
        <v>20</v>
      </c>
      <c r="O359" s="2">
        <v>2018</v>
      </c>
    </row>
    <row r="360" spans="1:15" ht="18.75">
      <c r="A360" s="18">
        <v>25</v>
      </c>
      <c r="B360" s="37" t="s">
        <v>567</v>
      </c>
      <c r="C360" s="2" t="s">
        <v>2161</v>
      </c>
      <c r="D360" s="2">
        <v>1</v>
      </c>
      <c r="E360" s="2" t="s">
        <v>666</v>
      </c>
      <c r="F360" s="1">
        <f t="shared" si="32"/>
        <v>0.75</v>
      </c>
      <c r="G360" s="2" t="s">
        <v>17</v>
      </c>
      <c r="H360" s="14"/>
      <c r="I360" s="2"/>
      <c r="J360" s="2"/>
      <c r="K360" s="2"/>
      <c r="L360" s="2"/>
      <c r="M360" s="43"/>
      <c r="N360" s="43">
        <f t="shared" si="33"/>
        <v>0</v>
      </c>
      <c r="O360" s="2"/>
    </row>
    <row r="361" spans="1:15" ht="18.75">
      <c r="A361" s="18">
        <v>25</v>
      </c>
      <c r="B361" s="37" t="s">
        <v>134</v>
      </c>
      <c r="C361" s="2" t="s">
        <v>2057</v>
      </c>
      <c r="D361" s="2">
        <v>1</v>
      </c>
      <c r="E361" s="2" t="s">
        <v>667</v>
      </c>
      <c r="F361" s="1">
        <f t="shared" si="32"/>
        <v>0.75</v>
      </c>
      <c r="G361" s="2" t="s">
        <v>17</v>
      </c>
      <c r="H361" s="14"/>
      <c r="I361" s="2"/>
      <c r="J361" s="2"/>
      <c r="K361" s="2"/>
      <c r="L361" s="2"/>
      <c r="M361" s="43">
        <v>70</v>
      </c>
      <c r="N361" s="43">
        <f t="shared" si="33"/>
        <v>52.5</v>
      </c>
      <c r="O361" s="2"/>
    </row>
    <row r="362" spans="1:15" ht="18.75">
      <c r="A362" s="18">
        <v>25</v>
      </c>
      <c r="B362" s="37" t="s">
        <v>553</v>
      </c>
      <c r="C362" s="2" t="s">
        <v>2161</v>
      </c>
      <c r="D362" s="2">
        <v>1</v>
      </c>
      <c r="E362" s="2" t="s">
        <v>668</v>
      </c>
      <c r="F362" s="1">
        <f t="shared" si="32"/>
        <v>0.5</v>
      </c>
      <c r="G362" s="2" t="s">
        <v>21</v>
      </c>
      <c r="H362" s="14"/>
      <c r="I362" s="2"/>
      <c r="J362" s="2"/>
      <c r="K362" s="2"/>
      <c r="L362" s="2"/>
      <c r="M362" s="43">
        <v>50</v>
      </c>
      <c r="N362" s="43">
        <f t="shared" si="33"/>
        <v>25</v>
      </c>
      <c r="O362" s="2"/>
    </row>
    <row r="363" spans="1:15" ht="18.75">
      <c r="A363" s="18">
        <v>25</v>
      </c>
      <c r="B363" s="37" t="s">
        <v>669</v>
      </c>
      <c r="C363" s="2" t="s">
        <v>2161</v>
      </c>
      <c r="D363" s="2">
        <v>1</v>
      </c>
      <c r="E363" s="2" t="s">
        <v>670</v>
      </c>
      <c r="F363" s="1">
        <f t="shared" si="32"/>
        <v>0.5</v>
      </c>
      <c r="G363" s="2" t="s">
        <v>21</v>
      </c>
      <c r="H363" s="14"/>
      <c r="I363" s="2"/>
      <c r="J363" s="2"/>
      <c r="K363" s="2"/>
      <c r="L363" s="2"/>
      <c r="M363" s="43">
        <v>30</v>
      </c>
      <c r="N363" s="43">
        <f t="shared" si="33"/>
        <v>15</v>
      </c>
      <c r="O363" s="2">
        <v>2018</v>
      </c>
    </row>
    <row r="364" spans="1:15" ht="18.75">
      <c r="A364" s="18">
        <v>25</v>
      </c>
      <c r="B364" s="37" t="s">
        <v>671</v>
      </c>
      <c r="C364" s="2" t="s">
        <v>2161</v>
      </c>
      <c r="D364" s="2">
        <v>1</v>
      </c>
      <c r="E364" s="2" t="s">
        <v>672</v>
      </c>
      <c r="F364" s="1">
        <f t="shared" si="32"/>
        <v>0.75</v>
      </c>
      <c r="G364" s="2" t="s">
        <v>17</v>
      </c>
      <c r="H364" s="14"/>
      <c r="I364" s="2"/>
      <c r="J364" s="2"/>
      <c r="K364" s="2"/>
      <c r="L364" s="2"/>
      <c r="M364" s="43">
        <v>20</v>
      </c>
      <c r="N364" s="43">
        <f t="shared" si="33"/>
        <v>15</v>
      </c>
      <c r="O364" s="2">
        <v>2018</v>
      </c>
    </row>
    <row r="365" spans="1:15" ht="18.75">
      <c r="A365" s="18">
        <v>25</v>
      </c>
      <c r="B365" s="37" t="s">
        <v>553</v>
      </c>
      <c r="C365" s="2" t="s">
        <v>2161</v>
      </c>
      <c r="D365" s="2">
        <v>1</v>
      </c>
      <c r="E365" s="2" t="s">
        <v>636</v>
      </c>
      <c r="F365" s="1">
        <f t="shared" si="32"/>
        <v>0.75</v>
      </c>
      <c r="G365" s="2" t="s">
        <v>17</v>
      </c>
      <c r="H365" s="14"/>
      <c r="I365" s="2"/>
      <c r="J365" s="2"/>
      <c r="K365" s="2"/>
      <c r="L365" s="2"/>
      <c r="M365" s="43">
        <v>50</v>
      </c>
      <c r="N365" s="43">
        <f t="shared" si="33"/>
        <v>37.5</v>
      </c>
      <c r="O365" s="2">
        <v>2018</v>
      </c>
    </row>
    <row r="366" spans="1:15" ht="18.75">
      <c r="A366" s="18">
        <v>25</v>
      </c>
      <c r="B366" s="37" t="s">
        <v>573</v>
      </c>
      <c r="C366" s="2" t="s">
        <v>2161</v>
      </c>
      <c r="D366" s="2">
        <v>1</v>
      </c>
      <c r="E366" s="2"/>
      <c r="F366" s="1">
        <f t="shared" si="32"/>
        <v>0.5</v>
      </c>
      <c r="G366" s="2" t="s">
        <v>21</v>
      </c>
      <c r="H366" s="14"/>
      <c r="I366" s="2"/>
      <c r="J366" s="2"/>
      <c r="K366" s="2"/>
      <c r="L366" s="2"/>
      <c r="M366" s="10">
        <v>18</v>
      </c>
      <c r="N366" s="10">
        <f t="shared" si="33"/>
        <v>9</v>
      </c>
      <c r="O366" s="2"/>
    </row>
    <row r="367" spans="1:15" ht="18.75">
      <c r="A367" s="18">
        <v>25</v>
      </c>
      <c r="B367" s="37" t="s">
        <v>587</v>
      </c>
      <c r="C367" s="2" t="s">
        <v>2161</v>
      </c>
      <c r="D367" s="2">
        <v>1</v>
      </c>
      <c r="E367" s="2"/>
      <c r="F367" s="1">
        <f t="shared" si="32"/>
        <v>0.5</v>
      </c>
      <c r="G367" s="2" t="s">
        <v>21</v>
      </c>
      <c r="H367" s="14"/>
      <c r="I367" s="2"/>
      <c r="J367" s="2"/>
      <c r="K367" s="2"/>
      <c r="L367" s="2"/>
      <c r="M367" s="10"/>
      <c r="N367" s="10">
        <f t="shared" si="33"/>
        <v>0</v>
      </c>
      <c r="O367" s="2"/>
    </row>
    <row r="368" spans="1:15" ht="18.75">
      <c r="A368" s="18">
        <v>25</v>
      </c>
      <c r="B368" s="37" t="s">
        <v>673</v>
      </c>
      <c r="C368" s="2" t="s">
        <v>2161</v>
      </c>
      <c r="D368" s="2">
        <v>1</v>
      </c>
      <c r="E368" s="2"/>
      <c r="F368" s="1">
        <f t="shared" si="32"/>
        <v>0.5</v>
      </c>
      <c r="G368" s="2" t="s">
        <v>21</v>
      </c>
      <c r="H368" s="14"/>
      <c r="I368" s="2"/>
      <c r="J368" s="2"/>
      <c r="K368" s="2"/>
      <c r="L368" s="2"/>
      <c r="M368" s="10"/>
      <c r="N368" s="10">
        <f t="shared" si="33"/>
        <v>0</v>
      </c>
      <c r="O368" s="2"/>
    </row>
    <row r="369" spans="1:15" ht="18.75">
      <c r="A369" s="18">
        <v>25</v>
      </c>
      <c r="B369" s="37" t="s">
        <v>591</v>
      </c>
      <c r="C369" s="2" t="s">
        <v>2161</v>
      </c>
      <c r="D369" s="2">
        <v>2</v>
      </c>
      <c r="E369" s="2" t="s">
        <v>2325</v>
      </c>
      <c r="F369" s="1">
        <f t="shared" si="32"/>
        <v>0.5</v>
      </c>
      <c r="G369" s="2" t="s">
        <v>21</v>
      </c>
      <c r="H369" s="14"/>
      <c r="I369" s="2"/>
      <c r="J369" s="2"/>
      <c r="K369" s="2"/>
      <c r="L369" s="2"/>
      <c r="M369" s="10">
        <f>12*2</f>
        <v>24</v>
      </c>
      <c r="N369" s="10">
        <f t="shared" si="33"/>
        <v>12</v>
      </c>
      <c r="O369" s="2"/>
    </row>
    <row r="370" spans="1:15" ht="18.75">
      <c r="A370" s="18">
        <v>25</v>
      </c>
      <c r="B370" s="9" t="s">
        <v>674</v>
      </c>
      <c r="C370" s="2" t="s">
        <v>2161</v>
      </c>
      <c r="D370" s="2">
        <v>1</v>
      </c>
      <c r="E370" s="2"/>
      <c r="F370" s="1">
        <f t="shared" si="32"/>
        <v>0.5</v>
      </c>
      <c r="G370" s="2" t="s">
        <v>21</v>
      </c>
      <c r="H370" s="14"/>
      <c r="I370" s="2"/>
      <c r="J370" s="2"/>
      <c r="K370" s="2"/>
      <c r="L370" s="2"/>
      <c r="M370" s="10">
        <v>8</v>
      </c>
      <c r="N370" s="10">
        <f t="shared" si="33"/>
        <v>4</v>
      </c>
      <c r="O370" s="2"/>
    </row>
    <row r="371" spans="1:15" ht="18.75">
      <c r="A371" s="8">
        <v>26</v>
      </c>
      <c r="B371" s="9" t="s">
        <v>638</v>
      </c>
      <c r="C371" s="2" t="s">
        <v>2161</v>
      </c>
      <c r="D371" s="2">
        <v>2</v>
      </c>
      <c r="E371" s="2" t="s">
        <v>2326</v>
      </c>
      <c r="F371" s="1">
        <f t="shared" si="32"/>
        <v>0.25</v>
      </c>
      <c r="G371" s="2" t="s">
        <v>46</v>
      </c>
      <c r="H371" s="14" t="s">
        <v>580</v>
      </c>
      <c r="I371" s="2"/>
      <c r="J371" s="2"/>
      <c r="K371" s="2">
        <v>82</v>
      </c>
      <c r="L371" s="2">
        <v>37</v>
      </c>
      <c r="M371" s="43">
        <f>300*2</f>
        <v>600</v>
      </c>
      <c r="N371" s="43">
        <f t="shared" si="33"/>
        <v>150</v>
      </c>
      <c r="O371" s="2"/>
    </row>
    <row r="372" spans="1:15" ht="18.75">
      <c r="A372" s="8">
        <v>26</v>
      </c>
      <c r="B372" s="9" t="s">
        <v>640</v>
      </c>
      <c r="C372" s="2" t="s">
        <v>2161</v>
      </c>
      <c r="D372" s="2">
        <v>2</v>
      </c>
      <c r="E372" s="2" t="s">
        <v>641</v>
      </c>
      <c r="F372" s="1">
        <f t="shared" si="32"/>
        <v>0.25</v>
      </c>
      <c r="G372" s="2" t="s">
        <v>46</v>
      </c>
      <c r="H372" s="14"/>
      <c r="I372" s="2"/>
      <c r="J372" s="2"/>
      <c r="K372" s="2">
        <v>82</v>
      </c>
      <c r="L372" s="2">
        <v>37</v>
      </c>
      <c r="M372" s="43">
        <f>100*2</f>
        <v>200</v>
      </c>
      <c r="N372" s="43">
        <f t="shared" si="33"/>
        <v>50</v>
      </c>
      <c r="O372" s="2"/>
    </row>
    <row r="373" spans="1:15" ht="18.75">
      <c r="A373" s="8">
        <v>26</v>
      </c>
      <c r="B373" s="9" t="s">
        <v>296</v>
      </c>
      <c r="C373" s="2" t="s">
        <v>2161</v>
      </c>
      <c r="D373" s="2">
        <v>1</v>
      </c>
      <c r="E373" s="2" t="s">
        <v>561</v>
      </c>
      <c r="F373" s="1">
        <f t="shared" si="32"/>
        <v>0.75</v>
      </c>
      <c r="G373" s="2" t="s">
        <v>17</v>
      </c>
      <c r="H373" s="14" t="s">
        <v>675</v>
      </c>
      <c r="I373" s="2" t="s">
        <v>676</v>
      </c>
      <c r="J373" s="2"/>
      <c r="K373" s="2">
        <v>13</v>
      </c>
      <c r="L373" s="2">
        <v>19</v>
      </c>
      <c r="M373" s="43">
        <v>10</v>
      </c>
      <c r="N373" s="43">
        <f t="shared" si="33"/>
        <v>7.5</v>
      </c>
      <c r="O373" s="2">
        <v>2015</v>
      </c>
    </row>
    <row r="374" spans="1:15" ht="18.75">
      <c r="A374" s="8">
        <v>26</v>
      </c>
      <c r="B374" s="9" t="s">
        <v>644</v>
      </c>
      <c r="C374" s="2" t="s">
        <v>2161</v>
      </c>
      <c r="D374" s="2">
        <v>1</v>
      </c>
      <c r="E374" s="2" t="s">
        <v>561</v>
      </c>
      <c r="F374" s="1">
        <f t="shared" si="32"/>
        <v>0.5</v>
      </c>
      <c r="G374" s="2" t="s">
        <v>21</v>
      </c>
      <c r="H374" s="14" t="s">
        <v>41</v>
      </c>
      <c r="I374" s="2" t="s">
        <v>677</v>
      </c>
      <c r="J374" s="2"/>
      <c r="K374" s="2">
        <v>19</v>
      </c>
      <c r="L374" s="2">
        <v>32</v>
      </c>
      <c r="M374" s="43">
        <v>115</v>
      </c>
      <c r="N374" s="43">
        <f t="shared" si="33"/>
        <v>57.5</v>
      </c>
      <c r="O374" s="2">
        <v>2019</v>
      </c>
    </row>
    <row r="375" spans="1:15" ht="18.75">
      <c r="A375" s="8">
        <v>26</v>
      </c>
      <c r="B375" s="9" t="s">
        <v>645</v>
      </c>
      <c r="C375" s="2" t="s">
        <v>2161</v>
      </c>
      <c r="D375" s="2">
        <v>1</v>
      </c>
      <c r="E375" s="2" t="s">
        <v>646</v>
      </c>
      <c r="F375" s="1">
        <f t="shared" si="32"/>
        <v>0.75</v>
      </c>
      <c r="G375" s="2" t="s">
        <v>17</v>
      </c>
      <c r="H375" s="14" t="s">
        <v>290</v>
      </c>
      <c r="I375" s="2" t="s">
        <v>678</v>
      </c>
      <c r="J375" s="2"/>
      <c r="K375" s="2"/>
      <c r="L375" s="2"/>
      <c r="M375" s="43">
        <v>158</v>
      </c>
      <c r="N375" s="43">
        <f t="shared" si="33"/>
        <v>118.5</v>
      </c>
      <c r="O375" s="2">
        <v>2016</v>
      </c>
    </row>
    <row r="376" spans="1:15" ht="18.75">
      <c r="A376" s="8">
        <v>26</v>
      </c>
      <c r="B376" s="9" t="s">
        <v>648</v>
      </c>
      <c r="C376" s="2" t="s">
        <v>2161</v>
      </c>
      <c r="D376" s="2">
        <v>1</v>
      </c>
      <c r="E376" s="2" t="s">
        <v>649</v>
      </c>
      <c r="F376" s="1">
        <f t="shared" si="32"/>
        <v>0.5</v>
      </c>
      <c r="G376" s="2" t="s">
        <v>29</v>
      </c>
      <c r="H376" s="14"/>
      <c r="I376" s="2"/>
      <c r="J376" s="2"/>
      <c r="K376" s="2">
        <v>16</v>
      </c>
      <c r="L376" s="2">
        <v>8</v>
      </c>
      <c r="M376" s="43">
        <v>40</v>
      </c>
      <c r="N376" s="43">
        <f t="shared" si="33"/>
        <v>20</v>
      </c>
      <c r="O376" s="2"/>
    </row>
    <row r="377" spans="1:15" ht="18.75">
      <c r="A377" s="8">
        <v>26</v>
      </c>
      <c r="B377" s="9" t="s">
        <v>650</v>
      </c>
      <c r="C377" s="2" t="s">
        <v>2161</v>
      </c>
      <c r="D377" s="2">
        <v>1</v>
      </c>
      <c r="E377" s="2" t="s">
        <v>651</v>
      </c>
      <c r="F377" s="1">
        <f t="shared" si="32"/>
        <v>0.75</v>
      </c>
      <c r="G377" s="2" t="s">
        <v>16</v>
      </c>
      <c r="H377" s="14"/>
      <c r="I377" s="2"/>
      <c r="J377" s="2"/>
      <c r="K377" s="2">
        <v>16</v>
      </c>
      <c r="L377" s="2">
        <v>28</v>
      </c>
      <c r="M377" s="43">
        <v>10</v>
      </c>
      <c r="N377" s="43">
        <f t="shared" si="33"/>
        <v>7.5</v>
      </c>
      <c r="O377" s="2">
        <v>2018</v>
      </c>
    </row>
    <row r="378" spans="1:15" ht="18.75">
      <c r="A378" s="8">
        <v>26</v>
      </c>
      <c r="B378" s="9" t="s">
        <v>652</v>
      </c>
      <c r="C378" s="2" t="s">
        <v>2161</v>
      </c>
      <c r="D378" s="2">
        <v>1</v>
      </c>
      <c r="E378" s="2" t="s">
        <v>653</v>
      </c>
      <c r="F378" s="1">
        <f t="shared" si="32"/>
        <v>0.75</v>
      </c>
      <c r="G378" s="2" t="s">
        <v>17</v>
      </c>
      <c r="H378" s="14" t="s">
        <v>295</v>
      </c>
      <c r="I378" s="2" t="s">
        <v>679</v>
      </c>
      <c r="J378" s="2"/>
      <c r="K378" s="2" t="s">
        <v>655</v>
      </c>
      <c r="L378" s="2"/>
      <c r="M378" s="43">
        <v>20</v>
      </c>
      <c r="N378" s="43">
        <f t="shared" si="33"/>
        <v>15</v>
      </c>
      <c r="O378" s="2">
        <v>2018</v>
      </c>
    </row>
    <row r="379" spans="1:15" ht="18.75">
      <c r="A379" s="8">
        <v>26</v>
      </c>
      <c r="B379" s="9" t="s">
        <v>656</v>
      </c>
      <c r="C379" s="2" t="s">
        <v>2161</v>
      </c>
      <c r="D379" s="2">
        <v>1</v>
      </c>
      <c r="E379" s="2" t="s">
        <v>657</v>
      </c>
      <c r="F379" s="1">
        <f t="shared" ref="F379:F410" si="34">IF(G379="fair",0.5,0)+IF(G379="good",0.75,0)+IF(G379="poor",0.25,0)+IF(G379="like new",0.9,0)+IF(G379="new",1,0)</f>
        <v>0.75</v>
      </c>
      <c r="G379" s="2" t="s">
        <v>17</v>
      </c>
      <c r="H379" s="14" t="s">
        <v>680</v>
      </c>
      <c r="I379" s="2" t="s">
        <v>681</v>
      </c>
      <c r="J379" s="2"/>
      <c r="K379" s="2">
        <v>9</v>
      </c>
      <c r="L379" s="2">
        <v>7</v>
      </c>
      <c r="M379" s="43">
        <v>79</v>
      </c>
      <c r="N379" s="43">
        <f t="shared" ref="N379:N410" si="35">F379*M379</f>
        <v>59.25</v>
      </c>
      <c r="O379" s="2">
        <v>2018</v>
      </c>
    </row>
    <row r="380" spans="1:15" ht="18.75">
      <c r="A380" s="8">
        <v>26</v>
      </c>
      <c r="B380" s="9" t="s">
        <v>660</v>
      </c>
      <c r="C380" s="2" t="s">
        <v>2161</v>
      </c>
      <c r="D380" s="2">
        <v>1</v>
      </c>
      <c r="E380" s="2" t="s">
        <v>661</v>
      </c>
      <c r="F380" s="1">
        <f t="shared" si="34"/>
        <v>0.75</v>
      </c>
      <c r="G380" s="2" t="s">
        <v>17</v>
      </c>
      <c r="H380" s="14" t="s">
        <v>662</v>
      </c>
      <c r="I380" s="2"/>
      <c r="J380" s="2"/>
      <c r="K380" s="2">
        <v>39</v>
      </c>
      <c r="L380" s="2">
        <v>18</v>
      </c>
      <c r="M380" s="43">
        <v>90</v>
      </c>
      <c r="N380" s="43">
        <f t="shared" si="35"/>
        <v>67.5</v>
      </c>
      <c r="O380" s="2">
        <v>2016</v>
      </c>
    </row>
    <row r="381" spans="1:15" ht="18.75">
      <c r="A381" s="8">
        <v>26</v>
      </c>
      <c r="B381" s="9" t="s">
        <v>560</v>
      </c>
      <c r="C381" s="2" t="s">
        <v>2161</v>
      </c>
      <c r="D381" s="2">
        <v>1</v>
      </c>
      <c r="E381" s="2" t="s">
        <v>663</v>
      </c>
      <c r="F381" s="1">
        <f t="shared" si="34"/>
        <v>0.5</v>
      </c>
      <c r="G381" s="2" t="s">
        <v>21</v>
      </c>
      <c r="H381" s="14" t="s">
        <v>605</v>
      </c>
      <c r="I381" s="2"/>
      <c r="J381" s="2"/>
      <c r="K381" s="2"/>
      <c r="L381" s="2"/>
      <c r="M381" s="43">
        <v>150</v>
      </c>
      <c r="N381" s="43">
        <f t="shared" si="35"/>
        <v>75</v>
      </c>
      <c r="O381" s="2">
        <v>2015</v>
      </c>
    </row>
    <row r="382" spans="1:15" ht="18.75">
      <c r="A382" s="8">
        <v>26</v>
      </c>
      <c r="B382" s="9" t="s">
        <v>664</v>
      </c>
      <c r="C382" s="2" t="s">
        <v>2161</v>
      </c>
      <c r="D382" s="2">
        <v>3</v>
      </c>
      <c r="E382" s="2" t="s">
        <v>682</v>
      </c>
      <c r="F382" s="1">
        <f t="shared" si="34"/>
        <v>0.75</v>
      </c>
      <c r="G382" s="2" t="s">
        <v>17</v>
      </c>
      <c r="H382" s="14"/>
      <c r="I382" s="15"/>
      <c r="J382" s="2"/>
      <c r="K382" s="2">
        <v>12</v>
      </c>
      <c r="L382" s="2">
        <v>36</v>
      </c>
      <c r="M382" s="43">
        <v>15</v>
      </c>
      <c r="N382" s="43">
        <f t="shared" si="35"/>
        <v>11.25</v>
      </c>
      <c r="O382" s="2"/>
    </row>
    <row r="383" spans="1:15" ht="18.75">
      <c r="A383" s="8">
        <v>26</v>
      </c>
      <c r="B383" s="9" t="s">
        <v>585</v>
      </c>
      <c r="C383" s="2" t="s">
        <v>2161</v>
      </c>
      <c r="D383" s="2">
        <v>2</v>
      </c>
      <c r="E383" s="2" t="s">
        <v>665</v>
      </c>
      <c r="F383" s="1">
        <f t="shared" si="34"/>
        <v>0.5</v>
      </c>
      <c r="G383" s="2" t="s">
        <v>29</v>
      </c>
      <c r="H383" s="14"/>
      <c r="I383" s="2"/>
      <c r="J383" s="2"/>
      <c r="K383" s="2"/>
      <c r="L383" s="2"/>
      <c r="M383" s="43">
        <f>10*3</f>
        <v>30</v>
      </c>
      <c r="N383" s="43">
        <f t="shared" si="35"/>
        <v>15</v>
      </c>
      <c r="O383" s="2">
        <v>2018</v>
      </c>
    </row>
    <row r="384" spans="1:15" ht="18.75">
      <c r="A384" s="8">
        <v>26</v>
      </c>
      <c r="B384" s="9" t="s">
        <v>567</v>
      </c>
      <c r="C384" s="2" t="s">
        <v>2161</v>
      </c>
      <c r="D384" s="2">
        <v>1</v>
      </c>
      <c r="E384" s="2" t="s">
        <v>666</v>
      </c>
      <c r="F384" s="1">
        <f t="shared" si="34"/>
        <v>0.75</v>
      </c>
      <c r="G384" s="2" t="s">
        <v>17</v>
      </c>
      <c r="H384" s="14"/>
      <c r="I384" s="2"/>
      <c r="J384" s="2"/>
      <c r="K384" s="2"/>
      <c r="L384" s="2"/>
      <c r="M384" s="43">
        <f>20*2</f>
        <v>40</v>
      </c>
      <c r="N384" s="43">
        <f t="shared" si="35"/>
        <v>30</v>
      </c>
      <c r="O384" s="2"/>
    </row>
    <row r="385" spans="1:15" ht="19.5" customHeight="1">
      <c r="A385" s="8">
        <v>26</v>
      </c>
      <c r="B385" s="9" t="s">
        <v>134</v>
      </c>
      <c r="C385" s="2" t="s">
        <v>2057</v>
      </c>
      <c r="D385" s="2">
        <v>1</v>
      </c>
      <c r="E385" s="2" t="s">
        <v>667</v>
      </c>
      <c r="F385" s="1">
        <f t="shared" si="34"/>
        <v>0.75</v>
      </c>
      <c r="G385" s="2" t="s">
        <v>17</v>
      </c>
      <c r="H385" s="14"/>
      <c r="I385" s="2"/>
      <c r="J385" s="2"/>
      <c r="K385" s="2"/>
      <c r="L385" s="2"/>
      <c r="M385" s="43">
        <v>70</v>
      </c>
      <c r="N385" s="43">
        <f t="shared" si="35"/>
        <v>52.5</v>
      </c>
      <c r="O385" s="2"/>
    </row>
    <row r="386" spans="1:15" ht="18.75">
      <c r="A386" s="8">
        <v>26</v>
      </c>
      <c r="B386" s="9" t="s">
        <v>553</v>
      </c>
      <c r="C386" s="2" t="s">
        <v>2161</v>
      </c>
      <c r="D386" s="2">
        <v>1</v>
      </c>
      <c r="E386" s="2" t="s">
        <v>668</v>
      </c>
      <c r="F386" s="1">
        <f t="shared" si="34"/>
        <v>0.5</v>
      </c>
      <c r="G386" s="2" t="s">
        <v>21</v>
      </c>
      <c r="H386" s="14"/>
      <c r="I386" s="2"/>
      <c r="J386" s="2"/>
      <c r="K386" s="2"/>
      <c r="L386" s="2"/>
      <c r="M386" s="43">
        <v>50</v>
      </c>
      <c r="N386" s="43">
        <f t="shared" si="35"/>
        <v>25</v>
      </c>
      <c r="O386" s="2"/>
    </row>
    <row r="387" spans="1:15" ht="18.75">
      <c r="A387" s="8">
        <v>26</v>
      </c>
      <c r="B387" s="9" t="s">
        <v>669</v>
      </c>
      <c r="C387" s="2" t="s">
        <v>2161</v>
      </c>
      <c r="D387" s="2">
        <v>1</v>
      </c>
      <c r="E387" s="2" t="s">
        <v>670</v>
      </c>
      <c r="F387" s="1">
        <f t="shared" si="34"/>
        <v>0.5</v>
      </c>
      <c r="G387" s="2" t="s">
        <v>21</v>
      </c>
      <c r="H387" s="14"/>
      <c r="I387" s="2"/>
      <c r="J387" s="2"/>
      <c r="K387" s="2"/>
      <c r="L387" s="2"/>
      <c r="M387" s="43">
        <v>50</v>
      </c>
      <c r="N387" s="43">
        <f t="shared" si="35"/>
        <v>25</v>
      </c>
      <c r="O387" s="2">
        <v>2018</v>
      </c>
    </row>
    <row r="388" spans="1:15" ht="18.75">
      <c r="A388" s="8">
        <v>26</v>
      </c>
      <c r="B388" s="9" t="s">
        <v>671</v>
      </c>
      <c r="C388" s="2" t="s">
        <v>2161</v>
      </c>
      <c r="D388" s="2">
        <v>1</v>
      </c>
      <c r="E388" s="2" t="s">
        <v>672</v>
      </c>
      <c r="F388" s="1">
        <f t="shared" si="34"/>
        <v>0.75</v>
      </c>
      <c r="G388" s="2" t="s">
        <v>17</v>
      </c>
      <c r="H388" s="14"/>
      <c r="I388" s="2"/>
      <c r="J388" s="2"/>
      <c r="K388" s="2"/>
      <c r="L388" s="2"/>
      <c r="M388" s="43">
        <v>30</v>
      </c>
      <c r="N388" s="43">
        <f t="shared" si="35"/>
        <v>22.5</v>
      </c>
      <c r="O388" s="2">
        <v>2018</v>
      </c>
    </row>
    <row r="389" spans="1:15" ht="18.75">
      <c r="A389" s="18">
        <v>26</v>
      </c>
      <c r="B389" s="37" t="s">
        <v>553</v>
      </c>
      <c r="C389" s="2" t="s">
        <v>2161</v>
      </c>
      <c r="D389" s="2">
        <v>1</v>
      </c>
      <c r="E389" s="2" t="s">
        <v>636</v>
      </c>
      <c r="F389" s="1">
        <f t="shared" si="34"/>
        <v>0.75</v>
      </c>
      <c r="G389" s="2" t="s">
        <v>17</v>
      </c>
      <c r="H389" s="14"/>
      <c r="I389" s="2"/>
      <c r="J389" s="2"/>
      <c r="K389" s="2"/>
      <c r="L389" s="2"/>
      <c r="M389" s="43">
        <v>50</v>
      </c>
      <c r="N389" s="43">
        <f t="shared" si="35"/>
        <v>37.5</v>
      </c>
      <c r="O389" s="2">
        <v>2018</v>
      </c>
    </row>
    <row r="390" spans="1:15" ht="18.75">
      <c r="A390" s="8">
        <v>26</v>
      </c>
      <c r="B390" s="9" t="s">
        <v>573</v>
      </c>
      <c r="C390" s="2" t="s">
        <v>2161</v>
      </c>
      <c r="D390" s="2">
        <v>1</v>
      </c>
      <c r="E390" s="2"/>
      <c r="F390" s="1">
        <f t="shared" si="34"/>
        <v>0.5</v>
      </c>
      <c r="G390" s="2" t="s">
        <v>21</v>
      </c>
      <c r="H390" s="14"/>
      <c r="I390" s="2"/>
      <c r="J390" s="2"/>
      <c r="K390" s="2"/>
      <c r="L390" s="2"/>
      <c r="M390" s="10">
        <v>18</v>
      </c>
      <c r="N390" s="10">
        <f t="shared" si="35"/>
        <v>9</v>
      </c>
      <c r="O390" s="2"/>
    </row>
    <row r="391" spans="1:15" ht="18.75">
      <c r="A391" s="8">
        <v>26</v>
      </c>
      <c r="B391" s="9" t="s">
        <v>587</v>
      </c>
      <c r="C391" s="2" t="s">
        <v>2161</v>
      </c>
      <c r="D391" s="2">
        <v>1</v>
      </c>
      <c r="E391" s="2"/>
      <c r="F391" s="1">
        <f t="shared" si="34"/>
        <v>0.5</v>
      </c>
      <c r="G391" s="2" t="s">
        <v>21</v>
      </c>
      <c r="H391" s="14"/>
      <c r="I391" s="2"/>
      <c r="J391" s="2"/>
      <c r="K391" s="2"/>
      <c r="L391" s="2"/>
      <c r="M391" s="10"/>
      <c r="N391" s="10">
        <f t="shared" si="35"/>
        <v>0</v>
      </c>
      <c r="O391" s="2"/>
    </row>
    <row r="392" spans="1:15" ht="18.75">
      <c r="A392" s="8">
        <v>26</v>
      </c>
      <c r="B392" s="9" t="s">
        <v>673</v>
      </c>
      <c r="C392" s="2" t="s">
        <v>2161</v>
      </c>
      <c r="D392" s="2">
        <v>1</v>
      </c>
      <c r="E392" s="2"/>
      <c r="F392" s="1">
        <f t="shared" si="34"/>
        <v>0.5</v>
      </c>
      <c r="G392" s="2" t="s">
        <v>21</v>
      </c>
      <c r="H392" s="14"/>
      <c r="I392" s="2"/>
      <c r="J392" s="2"/>
      <c r="K392" s="2"/>
      <c r="L392" s="2"/>
      <c r="M392" s="10"/>
      <c r="N392" s="10">
        <f t="shared" si="35"/>
        <v>0</v>
      </c>
      <c r="O392" s="2"/>
    </row>
    <row r="393" spans="1:15" ht="18.75">
      <c r="A393" s="8">
        <v>26</v>
      </c>
      <c r="B393" s="9" t="s">
        <v>591</v>
      </c>
      <c r="C393" s="2" t="s">
        <v>2161</v>
      </c>
      <c r="D393" s="2">
        <v>2</v>
      </c>
      <c r="E393" s="2" t="s">
        <v>2327</v>
      </c>
      <c r="F393" s="1">
        <f t="shared" si="34"/>
        <v>0.5</v>
      </c>
      <c r="G393" s="2" t="s">
        <v>21</v>
      </c>
      <c r="H393" s="14"/>
      <c r="I393" s="2"/>
      <c r="J393" s="2"/>
      <c r="K393" s="2"/>
      <c r="L393" s="2"/>
      <c r="M393" s="10">
        <f>2*12</f>
        <v>24</v>
      </c>
      <c r="N393" s="10">
        <f t="shared" si="35"/>
        <v>12</v>
      </c>
      <c r="O393" s="2"/>
    </row>
    <row r="394" spans="1:15" ht="18.75">
      <c r="A394" s="8">
        <v>26</v>
      </c>
      <c r="B394" s="9" t="s">
        <v>674</v>
      </c>
      <c r="C394" s="2" t="s">
        <v>2161</v>
      </c>
      <c r="D394" s="2">
        <v>1</v>
      </c>
      <c r="E394" s="2"/>
      <c r="F394" s="1">
        <f t="shared" si="34"/>
        <v>0.5</v>
      </c>
      <c r="G394" s="2" t="s">
        <v>21</v>
      </c>
      <c r="H394" s="14"/>
      <c r="I394" s="2"/>
      <c r="J394" s="2"/>
      <c r="K394" s="2"/>
      <c r="L394" s="2"/>
      <c r="M394" s="10">
        <v>8</v>
      </c>
      <c r="N394" s="10">
        <f t="shared" si="35"/>
        <v>4</v>
      </c>
      <c r="O394" s="2"/>
    </row>
    <row r="395" spans="1:15" ht="32.25">
      <c r="A395" s="8">
        <v>26</v>
      </c>
      <c r="B395" s="9" t="s">
        <v>2169</v>
      </c>
      <c r="C395" s="2" t="s">
        <v>2161</v>
      </c>
      <c r="D395" s="2">
        <v>3</v>
      </c>
      <c r="E395" s="2"/>
      <c r="F395" s="1">
        <f t="shared" si="34"/>
        <v>0.25</v>
      </c>
      <c r="G395" s="2" t="s">
        <v>143</v>
      </c>
      <c r="H395" s="2"/>
      <c r="I395" s="2"/>
      <c r="J395" s="2"/>
      <c r="K395" s="2"/>
      <c r="L395" s="2"/>
      <c r="M395" s="10">
        <f>69.2*2+164</f>
        <v>302.39999999999998</v>
      </c>
      <c r="N395" s="121">
        <f t="shared" si="35"/>
        <v>75.599999999999994</v>
      </c>
      <c r="O395" s="2"/>
    </row>
    <row r="397" spans="1:15">
      <c r="A397" s="11" t="s">
        <v>707</v>
      </c>
    </row>
    <row r="398" spans="1:15" ht="18" customHeight="1">
      <c r="A398" s="8">
        <v>27</v>
      </c>
      <c r="B398" s="37" t="s">
        <v>642</v>
      </c>
      <c r="C398" s="2" t="s">
        <v>2161</v>
      </c>
      <c r="D398" s="2">
        <v>1</v>
      </c>
      <c r="E398" s="2" t="s">
        <v>683</v>
      </c>
      <c r="F398" s="1">
        <f t="shared" ref="F398:F429" si="36">IF(G398="fair",0.5,0)+IF(G398="good",0.75,0)+IF(G398="poor",0.25,0)+IF(G398="like new",0.9,0)+IF(G398="new",1,0)</f>
        <v>0.5</v>
      </c>
      <c r="G398" s="2" t="s">
        <v>21</v>
      </c>
      <c r="H398" s="2"/>
      <c r="I398" s="2"/>
      <c r="J398" s="2"/>
      <c r="K398" s="2">
        <v>3</v>
      </c>
      <c r="L398" s="2">
        <v>6</v>
      </c>
      <c r="M398" s="10">
        <v>5</v>
      </c>
      <c r="N398" s="10">
        <f t="shared" ref="N398:N429" si="37">F398*M398</f>
        <v>2.5</v>
      </c>
      <c r="O398" s="2"/>
    </row>
    <row r="399" spans="1:15" ht="18" customHeight="1">
      <c r="A399" s="8">
        <v>27</v>
      </c>
      <c r="B399" s="37" t="s">
        <v>296</v>
      </c>
      <c r="C399" s="2" t="s">
        <v>2161</v>
      </c>
      <c r="D399" s="2">
        <v>1</v>
      </c>
      <c r="E399" s="2" t="s">
        <v>561</v>
      </c>
      <c r="F399" s="1">
        <f t="shared" si="36"/>
        <v>0.75</v>
      </c>
      <c r="G399" s="2" t="s">
        <v>17</v>
      </c>
      <c r="H399" s="2" t="s">
        <v>675</v>
      </c>
      <c r="I399" s="2" t="s">
        <v>676</v>
      </c>
      <c r="J399" s="2"/>
      <c r="K399" s="2">
        <v>17</v>
      </c>
      <c r="L399" s="2">
        <v>11</v>
      </c>
      <c r="M399" s="43">
        <v>60</v>
      </c>
      <c r="N399" s="43">
        <f t="shared" si="37"/>
        <v>45</v>
      </c>
      <c r="O399" s="2"/>
    </row>
    <row r="400" spans="1:15" ht="18" customHeight="1">
      <c r="A400" s="8">
        <v>27</v>
      </c>
      <c r="B400" s="37" t="s">
        <v>645</v>
      </c>
      <c r="C400" s="2" t="s">
        <v>2161</v>
      </c>
      <c r="D400" s="2">
        <v>1</v>
      </c>
      <c r="E400" s="2" t="s">
        <v>684</v>
      </c>
      <c r="F400" s="1">
        <f t="shared" si="36"/>
        <v>0.75</v>
      </c>
      <c r="G400" s="2" t="s">
        <v>17</v>
      </c>
      <c r="H400" s="2" t="s">
        <v>290</v>
      </c>
      <c r="I400" s="2" t="s">
        <v>678</v>
      </c>
      <c r="J400" s="2"/>
      <c r="K400" s="2"/>
      <c r="L400" s="2"/>
      <c r="M400" s="43">
        <v>48</v>
      </c>
      <c r="N400" s="43">
        <f t="shared" si="37"/>
        <v>36</v>
      </c>
      <c r="O400" s="2">
        <v>2016</v>
      </c>
    </row>
    <row r="401" spans="1:15" ht="18" customHeight="1">
      <c r="A401" s="8">
        <v>27</v>
      </c>
      <c r="B401" s="37" t="s">
        <v>648</v>
      </c>
      <c r="C401" s="2" t="s">
        <v>2161</v>
      </c>
      <c r="D401" s="2">
        <v>1</v>
      </c>
      <c r="E401" s="2" t="s">
        <v>685</v>
      </c>
      <c r="F401" s="1">
        <f t="shared" si="36"/>
        <v>0.5</v>
      </c>
      <c r="G401" s="2" t="s">
        <v>21</v>
      </c>
      <c r="H401" s="2"/>
      <c r="I401" s="2"/>
      <c r="J401" s="2"/>
      <c r="K401" s="2">
        <v>12</v>
      </c>
      <c r="L401" s="2">
        <v>8</v>
      </c>
      <c r="M401" s="43">
        <v>10</v>
      </c>
      <c r="N401" s="43">
        <f t="shared" si="37"/>
        <v>5</v>
      </c>
      <c r="O401" s="2"/>
    </row>
    <row r="402" spans="1:15" ht="18" customHeight="1">
      <c r="A402" s="8">
        <v>27</v>
      </c>
      <c r="B402" s="37" t="s">
        <v>650</v>
      </c>
      <c r="C402" s="2" t="s">
        <v>2161</v>
      </c>
      <c r="D402" s="2">
        <v>1</v>
      </c>
      <c r="E402" s="2" t="s">
        <v>651</v>
      </c>
      <c r="F402" s="1">
        <f t="shared" si="36"/>
        <v>0.5</v>
      </c>
      <c r="G402" s="2" t="s">
        <v>21</v>
      </c>
      <c r="H402" s="2"/>
      <c r="I402" s="2"/>
      <c r="J402" s="2"/>
      <c r="K402" s="2">
        <v>17</v>
      </c>
      <c r="L402" s="2">
        <v>24</v>
      </c>
      <c r="M402" s="43">
        <v>20</v>
      </c>
      <c r="N402" s="43">
        <f t="shared" si="37"/>
        <v>10</v>
      </c>
      <c r="O402" s="2">
        <v>2018</v>
      </c>
    </row>
    <row r="403" spans="1:15" ht="18" customHeight="1">
      <c r="A403" s="8">
        <v>27</v>
      </c>
      <c r="B403" s="37" t="s">
        <v>656</v>
      </c>
      <c r="C403" s="2" t="s">
        <v>2161</v>
      </c>
      <c r="D403" s="2">
        <v>1</v>
      </c>
      <c r="E403" s="2" t="s">
        <v>657</v>
      </c>
      <c r="F403" s="1">
        <f t="shared" si="36"/>
        <v>0.75</v>
      </c>
      <c r="G403" s="2" t="s">
        <v>16</v>
      </c>
      <c r="H403" s="2" t="s">
        <v>680</v>
      </c>
      <c r="I403" s="2" t="s">
        <v>687</v>
      </c>
      <c r="J403" s="2"/>
      <c r="K403" s="2">
        <v>7.5</v>
      </c>
      <c r="L403" s="2">
        <v>11</v>
      </c>
      <c r="M403" s="10">
        <v>90</v>
      </c>
      <c r="N403" s="10">
        <f t="shared" si="37"/>
        <v>67.5</v>
      </c>
      <c r="O403" s="2">
        <v>2018</v>
      </c>
    </row>
    <row r="404" spans="1:15" ht="18" customHeight="1">
      <c r="A404" s="8">
        <v>27</v>
      </c>
      <c r="B404" s="37" t="s">
        <v>660</v>
      </c>
      <c r="C404" s="2" t="s">
        <v>2161</v>
      </c>
      <c r="D404" s="2">
        <v>1</v>
      </c>
      <c r="E404" s="2" t="s">
        <v>688</v>
      </c>
      <c r="F404" s="1">
        <f t="shared" si="36"/>
        <v>0.5</v>
      </c>
      <c r="G404" s="2" t="s">
        <v>21</v>
      </c>
      <c r="H404" s="2"/>
      <c r="I404" s="2"/>
      <c r="J404" s="2"/>
      <c r="K404" s="2">
        <v>42</v>
      </c>
      <c r="L404" s="2">
        <v>20</v>
      </c>
      <c r="M404" s="10">
        <v>150</v>
      </c>
      <c r="N404" s="10">
        <f t="shared" si="37"/>
        <v>75</v>
      </c>
      <c r="O404" s="2">
        <v>2016</v>
      </c>
    </row>
    <row r="405" spans="1:15" ht="18" customHeight="1">
      <c r="A405" s="8">
        <v>27</v>
      </c>
      <c r="B405" s="37" t="s">
        <v>560</v>
      </c>
      <c r="C405" s="2" t="s">
        <v>2161</v>
      </c>
      <c r="D405" s="2">
        <v>1</v>
      </c>
      <c r="E405" s="2" t="s">
        <v>663</v>
      </c>
      <c r="F405" s="1">
        <f t="shared" si="36"/>
        <v>0.5</v>
      </c>
      <c r="G405" s="2" t="s">
        <v>21</v>
      </c>
      <c r="H405" s="2" t="s">
        <v>605</v>
      </c>
      <c r="I405" s="2"/>
      <c r="J405" s="2"/>
      <c r="K405" s="2">
        <v>8</v>
      </c>
      <c r="L405" s="2">
        <v>8</v>
      </c>
      <c r="M405" s="10">
        <v>15</v>
      </c>
      <c r="N405" s="10">
        <f t="shared" si="37"/>
        <v>7.5</v>
      </c>
      <c r="O405" s="2">
        <v>2015</v>
      </c>
    </row>
    <row r="406" spans="1:15" ht="18" customHeight="1">
      <c r="A406" s="8">
        <v>27</v>
      </c>
      <c r="B406" s="37" t="s">
        <v>689</v>
      </c>
      <c r="C406" s="2" t="s">
        <v>2161</v>
      </c>
      <c r="D406" s="2">
        <v>2</v>
      </c>
      <c r="E406" s="2" t="s">
        <v>690</v>
      </c>
      <c r="F406" s="1">
        <f t="shared" si="36"/>
        <v>0.25</v>
      </c>
      <c r="G406" s="2" t="s">
        <v>46</v>
      </c>
      <c r="H406" s="2"/>
      <c r="I406" s="2"/>
      <c r="J406" s="2"/>
      <c r="K406" s="2">
        <v>24</v>
      </c>
      <c r="L406" s="2">
        <v>23</v>
      </c>
      <c r="M406" s="10">
        <f>50*2</f>
        <v>100</v>
      </c>
      <c r="N406" s="10">
        <f t="shared" si="37"/>
        <v>25</v>
      </c>
      <c r="O406" s="2">
        <v>2018</v>
      </c>
    </row>
    <row r="407" spans="1:15" ht="18.75">
      <c r="A407" s="8">
        <v>27</v>
      </c>
      <c r="B407" s="37" t="s">
        <v>664</v>
      </c>
      <c r="C407" s="2" t="s">
        <v>2161</v>
      </c>
      <c r="D407" s="2">
        <v>3</v>
      </c>
      <c r="E407" s="2" t="s">
        <v>682</v>
      </c>
      <c r="F407" s="1">
        <f t="shared" si="36"/>
        <v>0.75</v>
      </c>
      <c r="G407" s="2" t="s">
        <v>17</v>
      </c>
      <c r="H407" s="2"/>
      <c r="I407" s="2"/>
      <c r="J407" s="2"/>
      <c r="K407" s="2">
        <v>10</v>
      </c>
      <c r="L407" s="2">
        <v>36</v>
      </c>
      <c r="M407" s="10">
        <f>10*3</f>
        <v>30</v>
      </c>
      <c r="N407" s="10">
        <f t="shared" si="37"/>
        <v>22.5</v>
      </c>
      <c r="O407" s="2"/>
    </row>
    <row r="408" spans="1:15" ht="18.75">
      <c r="A408" s="8">
        <v>27</v>
      </c>
      <c r="B408" s="37" t="s">
        <v>691</v>
      </c>
      <c r="C408" s="2" t="s">
        <v>2161</v>
      </c>
      <c r="D408" s="2">
        <v>1</v>
      </c>
      <c r="E408" s="2" t="s">
        <v>692</v>
      </c>
      <c r="F408" s="1">
        <f t="shared" si="36"/>
        <v>0.75</v>
      </c>
      <c r="G408" s="2" t="s">
        <v>17</v>
      </c>
      <c r="H408" s="2" t="s">
        <v>693</v>
      </c>
      <c r="I408" s="2"/>
      <c r="J408" s="2"/>
      <c r="K408" s="2">
        <v>79</v>
      </c>
      <c r="L408" s="2">
        <v>50</v>
      </c>
      <c r="M408" s="10">
        <v>500</v>
      </c>
      <c r="N408" s="10">
        <f t="shared" si="37"/>
        <v>375</v>
      </c>
      <c r="O408" s="2"/>
    </row>
    <row r="409" spans="1:15" ht="18.75">
      <c r="A409" s="8">
        <v>27</v>
      </c>
      <c r="B409" s="37" t="s">
        <v>694</v>
      </c>
      <c r="C409" s="2" t="s">
        <v>2161</v>
      </c>
      <c r="D409" s="2">
        <v>1</v>
      </c>
      <c r="E409" s="2" t="s">
        <v>695</v>
      </c>
      <c r="F409" s="1">
        <f t="shared" si="36"/>
        <v>0.75</v>
      </c>
      <c r="G409" s="2" t="s">
        <v>17</v>
      </c>
      <c r="H409" s="2"/>
      <c r="I409" s="2"/>
      <c r="J409" s="2"/>
      <c r="K409" s="2">
        <v>79</v>
      </c>
      <c r="L409" s="2">
        <v>50</v>
      </c>
      <c r="M409" s="10">
        <v>100</v>
      </c>
      <c r="N409" s="10">
        <f t="shared" si="37"/>
        <v>75</v>
      </c>
      <c r="O409" s="2"/>
    </row>
    <row r="410" spans="1:15" ht="18.75">
      <c r="A410" s="8">
        <v>27</v>
      </c>
      <c r="B410" s="37" t="s">
        <v>585</v>
      </c>
      <c r="C410" s="2" t="s">
        <v>2161</v>
      </c>
      <c r="D410" s="2">
        <v>2</v>
      </c>
      <c r="E410" s="2" t="s">
        <v>665</v>
      </c>
      <c r="F410" s="1">
        <f t="shared" si="36"/>
        <v>0.5</v>
      </c>
      <c r="G410" s="2" t="s">
        <v>21</v>
      </c>
      <c r="H410" s="2"/>
      <c r="I410" s="2"/>
      <c r="J410" s="2"/>
      <c r="K410" s="2"/>
      <c r="L410" s="2"/>
      <c r="M410" s="10">
        <f>20*2</f>
        <v>40</v>
      </c>
      <c r="N410" s="10">
        <f t="shared" si="37"/>
        <v>20</v>
      </c>
      <c r="O410" s="2">
        <v>2018</v>
      </c>
    </row>
    <row r="411" spans="1:15" ht="18.75">
      <c r="A411" s="8">
        <v>27</v>
      </c>
      <c r="B411" s="37" t="s">
        <v>567</v>
      </c>
      <c r="C411" s="2" t="s">
        <v>2161</v>
      </c>
      <c r="D411" s="2">
        <v>1</v>
      </c>
      <c r="E411" s="2" t="s">
        <v>666</v>
      </c>
      <c r="F411" s="1">
        <f t="shared" si="36"/>
        <v>0.75</v>
      </c>
      <c r="G411" s="2" t="s">
        <v>17</v>
      </c>
      <c r="H411" s="2"/>
      <c r="I411" s="2"/>
      <c r="J411" s="2"/>
      <c r="K411" s="2"/>
      <c r="L411" s="2"/>
      <c r="M411" s="10"/>
      <c r="N411" s="10">
        <f t="shared" si="37"/>
        <v>0</v>
      </c>
      <c r="O411" s="2"/>
    </row>
    <row r="412" spans="1:15" ht="18.75">
      <c r="A412" s="8">
        <v>27</v>
      </c>
      <c r="B412" s="37" t="s">
        <v>134</v>
      </c>
      <c r="C412" s="2" t="s">
        <v>2057</v>
      </c>
      <c r="D412" s="2">
        <v>1</v>
      </c>
      <c r="E412" s="2" t="s">
        <v>667</v>
      </c>
      <c r="F412" s="1">
        <f t="shared" si="36"/>
        <v>0.75</v>
      </c>
      <c r="G412" s="2" t="s">
        <v>17</v>
      </c>
      <c r="H412" s="2"/>
      <c r="I412" s="2"/>
      <c r="J412" s="2"/>
      <c r="K412" s="2"/>
      <c r="L412" s="2"/>
      <c r="M412" s="10">
        <v>70</v>
      </c>
      <c r="N412" s="10">
        <f t="shared" si="37"/>
        <v>52.5</v>
      </c>
      <c r="O412" s="2"/>
    </row>
    <row r="413" spans="1:15" ht="18.75">
      <c r="A413" s="8">
        <v>27</v>
      </c>
      <c r="B413" s="37" t="s">
        <v>553</v>
      </c>
      <c r="C413" s="2" t="s">
        <v>2161</v>
      </c>
      <c r="D413" s="2">
        <v>1</v>
      </c>
      <c r="E413" s="2" t="s">
        <v>668</v>
      </c>
      <c r="F413" s="1">
        <f t="shared" si="36"/>
        <v>0.5</v>
      </c>
      <c r="G413" s="2" t="s">
        <v>21</v>
      </c>
      <c r="H413" s="2"/>
      <c r="I413" s="2"/>
      <c r="J413" s="2"/>
      <c r="K413" s="2">
        <v>28</v>
      </c>
      <c r="L413" s="2">
        <v>20</v>
      </c>
      <c r="M413" s="10">
        <v>50</v>
      </c>
      <c r="N413" s="10">
        <f t="shared" si="37"/>
        <v>25</v>
      </c>
      <c r="O413" s="2"/>
    </row>
    <row r="414" spans="1:15" ht="18.75">
      <c r="A414" s="8">
        <v>27</v>
      </c>
      <c r="B414" s="37" t="s">
        <v>669</v>
      </c>
      <c r="C414" s="2" t="s">
        <v>2161</v>
      </c>
      <c r="D414" s="2">
        <v>1</v>
      </c>
      <c r="E414" s="2" t="s">
        <v>670</v>
      </c>
      <c r="F414" s="1">
        <f t="shared" si="36"/>
        <v>0.5</v>
      </c>
      <c r="G414" s="2" t="s">
        <v>21</v>
      </c>
      <c r="H414" s="2"/>
      <c r="I414" s="2"/>
      <c r="J414" s="2"/>
      <c r="K414" s="2"/>
      <c r="L414" s="2"/>
      <c r="M414" s="10">
        <v>30</v>
      </c>
      <c r="N414" s="10">
        <f t="shared" si="37"/>
        <v>15</v>
      </c>
      <c r="O414" s="2">
        <v>2018</v>
      </c>
    </row>
    <row r="415" spans="1:15" ht="18.75">
      <c r="A415" s="8">
        <v>27</v>
      </c>
      <c r="B415" s="37" t="s">
        <v>671</v>
      </c>
      <c r="C415" s="2" t="s">
        <v>2161</v>
      </c>
      <c r="D415" s="2">
        <v>1</v>
      </c>
      <c r="E415" s="2" t="s">
        <v>672</v>
      </c>
      <c r="F415" s="1">
        <f t="shared" si="36"/>
        <v>0.75</v>
      </c>
      <c r="G415" s="2" t="s">
        <v>17</v>
      </c>
      <c r="H415" s="2"/>
      <c r="I415" s="2"/>
      <c r="J415" s="2"/>
      <c r="K415" s="2"/>
      <c r="L415" s="2"/>
      <c r="M415" s="121">
        <v>20</v>
      </c>
      <c r="N415" s="121">
        <f t="shared" si="37"/>
        <v>15</v>
      </c>
      <c r="O415" s="2">
        <v>2018</v>
      </c>
    </row>
    <row r="416" spans="1:15" ht="18.75">
      <c r="A416" s="18">
        <v>27</v>
      </c>
      <c r="B416" s="37" t="s">
        <v>553</v>
      </c>
      <c r="C416" s="2" t="s">
        <v>2161</v>
      </c>
      <c r="D416" s="2">
        <v>1</v>
      </c>
      <c r="E416" s="2" t="s">
        <v>636</v>
      </c>
      <c r="F416" s="1">
        <f t="shared" si="36"/>
        <v>0.75</v>
      </c>
      <c r="G416" s="2" t="s">
        <v>17</v>
      </c>
      <c r="H416" s="14"/>
      <c r="I416" s="2"/>
      <c r="J416" s="2"/>
      <c r="K416" s="2"/>
      <c r="L416" s="2"/>
      <c r="M416" s="43">
        <v>50</v>
      </c>
      <c r="N416" s="43">
        <f t="shared" si="37"/>
        <v>37.5</v>
      </c>
      <c r="O416" s="2">
        <v>2018</v>
      </c>
    </row>
    <row r="417" spans="1:15" ht="18.75">
      <c r="A417" s="8">
        <v>27</v>
      </c>
      <c r="B417" s="37" t="s">
        <v>573</v>
      </c>
      <c r="C417" s="2" t="s">
        <v>2161</v>
      </c>
      <c r="D417" s="2">
        <v>1</v>
      </c>
      <c r="E417" s="2"/>
      <c r="F417" s="1">
        <f t="shared" si="36"/>
        <v>0.5</v>
      </c>
      <c r="G417" s="2" t="s">
        <v>21</v>
      </c>
      <c r="H417" s="2"/>
      <c r="I417" s="2"/>
      <c r="J417" s="2"/>
      <c r="K417" s="2"/>
      <c r="L417" s="2"/>
      <c r="M417" s="10">
        <v>18</v>
      </c>
      <c r="N417" s="10">
        <f t="shared" si="37"/>
        <v>9</v>
      </c>
      <c r="O417" s="2"/>
    </row>
    <row r="418" spans="1:15" ht="18.75">
      <c r="A418" s="8">
        <v>27</v>
      </c>
      <c r="B418" s="37" t="s">
        <v>587</v>
      </c>
      <c r="C418" s="2" t="s">
        <v>2161</v>
      </c>
      <c r="D418" s="2">
        <v>1</v>
      </c>
      <c r="E418" s="2"/>
      <c r="F418" s="1">
        <f t="shared" si="36"/>
        <v>0.5</v>
      </c>
      <c r="G418" s="2" t="s">
        <v>21</v>
      </c>
      <c r="H418" s="2"/>
      <c r="I418" s="2"/>
      <c r="J418" s="2"/>
      <c r="K418" s="2"/>
      <c r="L418" s="2"/>
      <c r="M418" s="10"/>
      <c r="N418" s="10">
        <f t="shared" si="37"/>
        <v>0</v>
      </c>
      <c r="O418" s="2"/>
    </row>
    <row r="419" spans="1:15" ht="18.75">
      <c r="A419" s="8">
        <v>27</v>
      </c>
      <c r="B419" s="37" t="s">
        <v>673</v>
      </c>
      <c r="C419" s="2" t="s">
        <v>2161</v>
      </c>
      <c r="D419" s="2">
        <v>1</v>
      </c>
      <c r="E419" s="2"/>
      <c r="F419" s="1">
        <f t="shared" si="36"/>
        <v>0.5</v>
      </c>
      <c r="G419" s="2" t="s">
        <v>21</v>
      </c>
      <c r="H419" s="2"/>
      <c r="I419" s="2"/>
      <c r="J419" s="2"/>
      <c r="K419" s="2"/>
      <c r="L419" s="2"/>
      <c r="M419" s="10"/>
      <c r="N419" s="10">
        <f t="shared" si="37"/>
        <v>0</v>
      </c>
      <c r="O419" s="2"/>
    </row>
    <row r="420" spans="1:15" ht="18.75">
      <c r="A420" s="8">
        <v>27</v>
      </c>
      <c r="B420" s="37" t="s">
        <v>591</v>
      </c>
      <c r="C420" s="2" t="s">
        <v>2161</v>
      </c>
      <c r="D420" s="2">
        <v>6</v>
      </c>
      <c r="E420" s="2" t="s">
        <v>2328</v>
      </c>
      <c r="F420" s="1">
        <f t="shared" si="36"/>
        <v>0.5</v>
      </c>
      <c r="G420" s="2" t="s">
        <v>21</v>
      </c>
      <c r="H420" s="2"/>
      <c r="I420" s="2"/>
      <c r="J420" s="2"/>
      <c r="K420" s="2"/>
      <c r="L420" s="2"/>
      <c r="M420" s="10">
        <f>12*5+5</f>
        <v>65</v>
      </c>
      <c r="N420" s="10">
        <f t="shared" si="37"/>
        <v>32.5</v>
      </c>
      <c r="O420" s="2"/>
    </row>
    <row r="421" spans="1:15" ht="18.75">
      <c r="A421" s="8">
        <v>27</v>
      </c>
      <c r="B421" s="37" t="s">
        <v>674</v>
      </c>
      <c r="C421" s="2" t="s">
        <v>2161</v>
      </c>
      <c r="D421" s="2">
        <v>1</v>
      </c>
      <c r="E421" s="2" t="s">
        <v>561</v>
      </c>
      <c r="F421" s="1">
        <f t="shared" si="36"/>
        <v>0.5</v>
      </c>
      <c r="G421" s="2" t="s">
        <v>21</v>
      </c>
      <c r="H421" s="2"/>
      <c r="I421" s="2"/>
      <c r="J421" s="2"/>
      <c r="K421" s="2"/>
      <c r="L421" s="2"/>
      <c r="M421" s="10">
        <v>8</v>
      </c>
      <c r="N421" s="10">
        <f t="shared" si="37"/>
        <v>4</v>
      </c>
      <c r="O421" s="2"/>
    </row>
    <row r="422" spans="1:15" ht="18.75">
      <c r="A422" s="8">
        <v>28</v>
      </c>
      <c r="B422" s="37" t="s">
        <v>642</v>
      </c>
      <c r="C422" s="2" t="s">
        <v>2161</v>
      </c>
      <c r="D422" s="28">
        <v>1</v>
      </c>
      <c r="E422" s="28" t="s">
        <v>696</v>
      </c>
      <c r="F422" s="1">
        <f t="shared" si="36"/>
        <v>0.5</v>
      </c>
      <c r="G422" s="28" t="s">
        <v>21</v>
      </c>
      <c r="H422" s="28"/>
      <c r="I422" s="28"/>
      <c r="J422" s="28"/>
      <c r="K422" s="28">
        <v>3</v>
      </c>
      <c r="L422" s="28">
        <v>4</v>
      </c>
      <c r="M422" s="10">
        <v>5</v>
      </c>
      <c r="N422" s="121">
        <f t="shared" si="37"/>
        <v>2.5</v>
      </c>
      <c r="O422" s="2"/>
    </row>
    <row r="423" spans="1:15" ht="18.75">
      <c r="A423" s="8">
        <v>28</v>
      </c>
      <c r="B423" s="37" t="s">
        <v>296</v>
      </c>
      <c r="C423" s="2" t="s">
        <v>2161</v>
      </c>
      <c r="D423" s="2">
        <v>1</v>
      </c>
      <c r="E423" s="2" t="s">
        <v>561</v>
      </c>
      <c r="F423" s="1">
        <f t="shared" si="36"/>
        <v>0.75</v>
      </c>
      <c r="G423" s="2" t="s">
        <v>17</v>
      </c>
      <c r="H423" s="2" t="s">
        <v>675</v>
      </c>
      <c r="I423" s="2" t="s">
        <v>676</v>
      </c>
      <c r="J423" s="2"/>
      <c r="K423" s="2">
        <v>17</v>
      </c>
      <c r="L423" s="2">
        <v>11</v>
      </c>
      <c r="M423" s="43">
        <v>60</v>
      </c>
      <c r="N423" s="121">
        <f t="shared" si="37"/>
        <v>45</v>
      </c>
      <c r="O423" s="2"/>
    </row>
    <row r="424" spans="1:15" ht="18.75">
      <c r="A424" s="8">
        <v>28</v>
      </c>
      <c r="B424" s="37" t="s">
        <v>644</v>
      </c>
      <c r="C424" s="2" t="s">
        <v>2161</v>
      </c>
      <c r="D424" s="2">
        <v>1</v>
      </c>
      <c r="E424" s="2" t="s">
        <v>697</v>
      </c>
      <c r="F424" s="1">
        <f t="shared" si="36"/>
        <v>0.75</v>
      </c>
      <c r="G424" s="2" t="s">
        <v>17</v>
      </c>
      <c r="H424" s="2" t="s">
        <v>563</v>
      </c>
      <c r="I424" s="2" t="s">
        <v>698</v>
      </c>
      <c r="J424" s="2"/>
      <c r="K424" s="2"/>
      <c r="L424" s="2"/>
      <c r="M424" s="43">
        <v>158</v>
      </c>
      <c r="N424" s="121">
        <f t="shared" si="37"/>
        <v>118.5</v>
      </c>
      <c r="O424" s="2">
        <v>2022</v>
      </c>
    </row>
    <row r="425" spans="1:15" ht="18.75">
      <c r="A425" s="8">
        <v>28</v>
      </c>
      <c r="B425" s="37" t="s">
        <v>645</v>
      </c>
      <c r="C425" s="2" t="s">
        <v>2161</v>
      </c>
      <c r="D425" s="2">
        <v>1</v>
      </c>
      <c r="E425" s="2" t="s">
        <v>684</v>
      </c>
      <c r="F425" s="1">
        <f t="shared" si="36"/>
        <v>0.75</v>
      </c>
      <c r="G425" s="2" t="s">
        <v>17</v>
      </c>
      <c r="H425" s="2" t="s">
        <v>290</v>
      </c>
      <c r="I425" s="2" t="s">
        <v>678</v>
      </c>
      <c r="J425" s="2"/>
      <c r="K425" s="2"/>
      <c r="L425" s="2"/>
      <c r="M425" s="43">
        <v>48</v>
      </c>
      <c r="N425" s="121">
        <f t="shared" si="37"/>
        <v>36</v>
      </c>
      <c r="O425" s="2">
        <v>2016</v>
      </c>
    </row>
    <row r="426" spans="1:15" ht="18.75">
      <c r="A426" s="8">
        <v>28</v>
      </c>
      <c r="B426" s="37" t="s">
        <v>648</v>
      </c>
      <c r="C426" s="2" t="s">
        <v>2161</v>
      </c>
      <c r="D426" s="2">
        <v>1</v>
      </c>
      <c r="E426" s="2" t="s">
        <v>685</v>
      </c>
      <c r="F426" s="1">
        <f t="shared" si="36"/>
        <v>0.5</v>
      </c>
      <c r="G426" s="2" t="s">
        <v>21</v>
      </c>
      <c r="H426" s="2"/>
      <c r="I426" s="2"/>
      <c r="J426" s="2"/>
      <c r="K426" s="2">
        <v>12</v>
      </c>
      <c r="L426" s="2">
        <v>8</v>
      </c>
      <c r="M426" s="43">
        <v>10</v>
      </c>
      <c r="N426" s="121">
        <f t="shared" si="37"/>
        <v>5</v>
      </c>
      <c r="O426" s="2"/>
    </row>
    <row r="427" spans="1:15" ht="18.75">
      <c r="A427" s="8">
        <v>28</v>
      </c>
      <c r="B427" s="37" t="s">
        <v>650</v>
      </c>
      <c r="C427" s="2" t="s">
        <v>2161</v>
      </c>
      <c r="D427" s="2">
        <v>1</v>
      </c>
      <c r="E427" s="2" t="s">
        <v>651</v>
      </c>
      <c r="F427" s="1">
        <f t="shared" si="36"/>
        <v>0.5</v>
      </c>
      <c r="G427" s="2" t="s">
        <v>21</v>
      </c>
      <c r="H427" s="2"/>
      <c r="I427" s="2"/>
      <c r="J427" s="2"/>
      <c r="K427" s="2">
        <v>17</v>
      </c>
      <c r="L427" s="2">
        <v>24</v>
      </c>
      <c r="M427" s="43">
        <v>20</v>
      </c>
      <c r="N427" s="121">
        <f t="shared" si="37"/>
        <v>10</v>
      </c>
      <c r="O427" s="2">
        <v>2018</v>
      </c>
    </row>
    <row r="428" spans="1:15" ht="18.75">
      <c r="A428" s="8">
        <v>28</v>
      </c>
      <c r="B428" s="37" t="s">
        <v>652</v>
      </c>
      <c r="C428" s="2" t="s">
        <v>2161</v>
      </c>
      <c r="D428" s="2">
        <v>1</v>
      </c>
      <c r="E428" s="2" t="s">
        <v>653</v>
      </c>
      <c r="F428" s="1">
        <f t="shared" si="36"/>
        <v>0.75</v>
      </c>
      <c r="G428" s="2" t="s">
        <v>17</v>
      </c>
      <c r="H428" s="2" t="s">
        <v>295</v>
      </c>
      <c r="I428" s="2" t="s">
        <v>699</v>
      </c>
      <c r="J428" s="2"/>
      <c r="K428" s="2" t="s">
        <v>655</v>
      </c>
      <c r="L428" s="2"/>
      <c r="M428" s="43">
        <v>79</v>
      </c>
      <c r="N428" s="121">
        <f t="shared" si="37"/>
        <v>59.25</v>
      </c>
      <c r="O428" s="2">
        <v>2018</v>
      </c>
    </row>
    <row r="429" spans="1:15" ht="18.75">
      <c r="A429" s="8">
        <v>28</v>
      </c>
      <c r="B429" s="37" t="s">
        <v>656</v>
      </c>
      <c r="C429" s="2" t="s">
        <v>2161</v>
      </c>
      <c r="D429" s="2">
        <v>1</v>
      </c>
      <c r="E429" s="2" t="s">
        <v>657</v>
      </c>
      <c r="F429" s="1">
        <f t="shared" si="36"/>
        <v>0.75</v>
      </c>
      <c r="G429" s="2" t="s">
        <v>16</v>
      </c>
      <c r="H429" s="2" t="s">
        <v>700</v>
      </c>
      <c r="I429" s="2" t="s">
        <v>701</v>
      </c>
      <c r="J429" s="2"/>
      <c r="K429" s="2">
        <v>7.5</v>
      </c>
      <c r="L429" s="2">
        <v>11</v>
      </c>
      <c r="M429" s="10">
        <v>90</v>
      </c>
      <c r="N429" s="121">
        <f t="shared" si="37"/>
        <v>67.5</v>
      </c>
      <c r="O429" s="2">
        <v>2018</v>
      </c>
    </row>
    <row r="430" spans="1:15" ht="18.75">
      <c r="A430" s="8">
        <v>28</v>
      </c>
      <c r="B430" s="37" t="s">
        <v>660</v>
      </c>
      <c r="C430" s="2" t="s">
        <v>2161</v>
      </c>
      <c r="D430" s="2">
        <v>1</v>
      </c>
      <c r="E430" s="2" t="s">
        <v>702</v>
      </c>
      <c r="F430" s="1">
        <f t="shared" ref="F430:F461" si="38">IF(G430="fair",0.5,0)+IF(G430="good",0.75,0)+IF(G430="poor",0.25,0)+IF(G430="like new",0.9,0)+IF(G430="new",1,0)</f>
        <v>0.5</v>
      </c>
      <c r="G430" s="2" t="s">
        <v>29</v>
      </c>
      <c r="H430" s="2"/>
      <c r="I430" s="2"/>
      <c r="J430" s="2"/>
      <c r="K430" s="2">
        <v>42</v>
      </c>
      <c r="L430" s="2">
        <v>20</v>
      </c>
      <c r="M430" s="10">
        <v>150</v>
      </c>
      <c r="N430" s="121">
        <f t="shared" ref="N430:N461" si="39">F430*M430</f>
        <v>75</v>
      </c>
      <c r="O430" s="2">
        <v>2016</v>
      </c>
    </row>
    <row r="431" spans="1:15" ht="18.75">
      <c r="A431" s="8">
        <v>28</v>
      </c>
      <c r="B431" s="37" t="s">
        <v>560</v>
      </c>
      <c r="C431" s="2" t="s">
        <v>2161</v>
      </c>
      <c r="D431" s="2">
        <v>1</v>
      </c>
      <c r="E431" s="2" t="s">
        <v>663</v>
      </c>
      <c r="F431" s="1">
        <f t="shared" si="38"/>
        <v>0.25</v>
      </c>
      <c r="G431" s="2" t="s">
        <v>143</v>
      </c>
      <c r="H431" s="2" t="s">
        <v>605</v>
      </c>
      <c r="I431" s="2"/>
      <c r="J431" s="2"/>
      <c r="K431" s="2">
        <v>8</v>
      </c>
      <c r="L431" s="2">
        <v>8</v>
      </c>
      <c r="M431" s="10">
        <v>15</v>
      </c>
      <c r="N431" s="121">
        <f t="shared" si="39"/>
        <v>3.75</v>
      </c>
      <c r="O431" s="2">
        <v>2015</v>
      </c>
    </row>
    <row r="432" spans="1:15" ht="18.75">
      <c r="A432" s="8">
        <v>28</v>
      </c>
      <c r="B432" s="37" t="s">
        <v>689</v>
      </c>
      <c r="C432" s="2" t="s">
        <v>2161</v>
      </c>
      <c r="D432" s="30">
        <v>2</v>
      </c>
      <c r="E432" s="30" t="s">
        <v>703</v>
      </c>
      <c r="F432" s="1">
        <f t="shared" si="38"/>
        <v>0.25</v>
      </c>
      <c r="G432" s="30" t="s">
        <v>143</v>
      </c>
      <c r="H432" s="30"/>
      <c r="I432" s="30"/>
      <c r="J432" s="30"/>
      <c r="K432" s="30">
        <v>14</v>
      </c>
      <c r="L432" s="30">
        <v>24</v>
      </c>
      <c r="M432" s="10">
        <f>50*2</f>
        <v>100</v>
      </c>
      <c r="N432" s="121">
        <f t="shared" si="39"/>
        <v>25</v>
      </c>
      <c r="O432" s="2">
        <v>2018</v>
      </c>
    </row>
    <row r="433" spans="1:15" ht="44.25" customHeight="1">
      <c r="A433" s="8">
        <v>28</v>
      </c>
      <c r="B433" s="37" t="s">
        <v>664</v>
      </c>
      <c r="C433" s="2" t="s">
        <v>2161</v>
      </c>
      <c r="D433" s="2">
        <v>3</v>
      </c>
      <c r="E433" s="2" t="s">
        <v>704</v>
      </c>
      <c r="F433" s="1">
        <f t="shared" si="38"/>
        <v>0.5</v>
      </c>
      <c r="G433" s="2" t="s">
        <v>21</v>
      </c>
      <c r="H433" s="2"/>
      <c r="I433" s="2"/>
      <c r="J433" s="2"/>
      <c r="K433" s="2">
        <v>10</v>
      </c>
      <c r="L433" s="2">
        <v>36</v>
      </c>
      <c r="M433" s="10">
        <f>10*3</f>
        <v>30</v>
      </c>
      <c r="N433" s="121">
        <f t="shared" si="39"/>
        <v>15</v>
      </c>
      <c r="O433" s="2"/>
    </row>
    <row r="434" spans="1:15" ht="18.75">
      <c r="A434" s="8">
        <v>28</v>
      </c>
      <c r="B434" s="37" t="s">
        <v>691</v>
      </c>
      <c r="C434" s="2" t="s">
        <v>2161</v>
      </c>
      <c r="D434" s="2">
        <v>1</v>
      </c>
      <c r="E434" s="2" t="s">
        <v>692</v>
      </c>
      <c r="F434" s="1">
        <f t="shared" si="38"/>
        <v>0.75</v>
      </c>
      <c r="G434" s="2" t="s">
        <v>17</v>
      </c>
      <c r="H434" s="2" t="s">
        <v>693</v>
      </c>
      <c r="I434" s="2"/>
      <c r="J434" s="2"/>
      <c r="K434" s="2">
        <v>80</v>
      </c>
      <c r="L434" s="2">
        <v>60</v>
      </c>
      <c r="M434" s="10">
        <v>500</v>
      </c>
      <c r="N434" s="121">
        <f t="shared" si="39"/>
        <v>375</v>
      </c>
      <c r="O434" s="2"/>
    </row>
    <row r="435" spans="1:15" ht="18.75">
      <c r="A435" s="8">
        <v>28</v>
      </c>
      <c r="B435" s="37" t="s">
        <v>694</v>
      </c>
      <c r="C435" s="2" t="s">
        <v>2161</v>
      </c>
      <c r="D435" s="2">
        <v>1</v>
      </c>
      <c r="E435" s="2" t="s">
        <v>695</v>
      </c>
      <c r="F435" s="1">
        <f t="shared" si="38"/>
        <v>0.75</v>
      </c>
      <c r="G435" s="2" t="s">
        <v>17</v>
      </c>
      <c r="H435" s="2"/>
      <c r="I435" s="2"/>
      <c r="J435" s="2"/>
      <c r="K435" s="2">
        <v>80</v>
      </c>
      <c r="L435" s="2">
        <v>60</v>
      </c>
      <c r="M435" s="10">
        <v>100</v>
      </c>
      <c r="N435" s="121">
        <f t="shared" si="39"/>
        <v>75</v>
      </c>
      <c r="O435" s="2"/>
    </row>
    <row r="436" spans="1:15" ht="18.75">
      <c r="A436" s="8">
        <v>28</v>
      </c>
      <c r="B436" s="37" t="s">
        <v>585</v>
      </c>
      <c r="C436" s="2" t="s">
        <v>2161</v>
      </c>
      <c r="D436" s="2">
        <v>2</v>
      </c>
      <c r="E436" s="2" t="s">
        <v>665</v>
      </c>
      <c r="F436" s="1">
        <f t="shared" si="38"/>
        <v>0.5</v>
      </c>
      <c r="G436" s="2" t="s">
        <v>21</v>
      </c>
      <c r="H436" s="2"/>
      <c r="I436" s="2"/>
      <c r="J436" s="2"/>
      <c r="K436" s="2"/>
      <c r="L436" s="2"/>
      <c r="M436" s="10">
        <f>20*2</f>
        <v>40</v>
      </c>
      <c r="N436" s="121">
        <f t="shared" si="39"/>
        <v>20</v>
      </c>
      <c r="O436" s="2">
        <v>2018</v>
      </c>
    </row>
    <row r="437" spans="1:15" ht="18.75">
      <c r="A437" s="8">
        <v>28</v>
      </c>
      <c r="B437" s="37" t="s">
        <v>567</v>
      </c>
      <c r="C437" s="2" t="s">
        <v>2161</v>
      </c>
      <c r="D437" s="2">
        <v>1</v>
      </c>
      <c r="E437" s="2" t="s">
        <v>666</v>
      </c>
      <c r="F437" s="1">
        <f t="shared" si="38"/>
        <v>0.75</v>
      </c>
      <c r="G437" s="2" t="s">
        <v>17</v>
      </c>
      <c r="H437" s="2"/>
      <c r="I437" s="2"/>
      <c r="J437" s="2"/>
      <c r="K437" s="2"/>
      <c r="L437" s="2"/>
      <c r="M437" s="10"/>
      <c r="N437" s="121">
        <f t="shared" si="39"/>
        <v>0</v>
      </c>
      <c r="O437" s="2"/>
    </row>
    <row r="438" spans="1:15" ht="18.75">
      <c r="A438" s="8">
        <v>28</v>
      </c>
      <c r="B438" s="37" t="s">
        <v>134</v>
      </c>
      <c r="C438" s="2" t="s">
        <v>2057</v>
      </c>
      <c r="D438" s="2">
        <v>1</v>
      </c>
      <c r="E438" s="2" t="s">
        <v>667</v>
      </c>
      <c r="F438" s="1">
        <f t="shared" si="38"/>
        <v>0.75</v>
      </c>
      <c r="G438" s="2" t="s">
        <v>17</v>
      </c>
      <c r="H438" s="2"/>
      <c r="I438" s="2"/>
      <c r="J438" s="2"/>
      <c r="K438" s="2"/>
      <c r="L438" s="2"/>
      <c r="M438" s="10">
        <v>70</v>
      </c>
      <c r="N438" s="121">
        <f t="shared" si="39"/>
        <v>52.5</v>
      </c>
      <c r="O438" s="2"/>
    </row>
    <row r="439" spans="1:15" ht="18.75">
      <c r="A439" s="8">
        <v>28</v>
      </c>
      <c r="B439" s="37" t="s">
        <v>553</v>
      </c>
      <c r="C439" s="2" t="s">
        <v>2161</v>
      </c>
      <c r="D439" s="2">
        <v>1</v>
      </c>
      <c r="E439" s="2" t="s">
        <v>668</v>
      </c>
      <c r="F439" s="1">
        <f t="shared" si="38"/>
        <v>0.5</v>
      </c>
      <c r="G439" s="2" t="s">
        <v>21</v>
      </c>
      <c r="H439" s="2"/>
      <c r="I439" s="2"/>
      <c r="J439" s="2"/>
      <c r="K439" s="2">
        <v>28</v>
      </c>
      <c r="L439" s="2">
        <v>20</v>
      </c>
      <c r="M439" s="10">
        <v>50</v>
      </c>
      <c r="N439" s="121">
        <f t="shared" si="39"/>
        <v>25</v>
      </c>
      <c r="O439" s="2"/>
    </row>
    <row r="440" spans="1:15" ht="18.75">
      <c r="A440" s="8">
        <v>28</v>
      </c>
      <c r="B440" s="37" t="s">
        <v>669</v>
      </c>
      <c r="C440" s="2" t="s">
        <v>2161</v>
      </c>
      <c r="D440" s="2">
        <v>1</v>
      </c>
      <c r="E440" s="2" t="s">
        <v>670</v>
      </c>
      <c r="F440" s="1">
        <f t="shared" si="38"/>
        <v>0.5</v>
      </c>
      <c r="G440" s="2" t="s">
        <v>21</v>
      </c>
      <c r="H440" s="2"/>
      <c r="I440" s="2"/>
      <c r="J440" s="2"/>
      <c r="K440" s="2"/>
      <c r="L440" s="2"/>
      <c r="M440" s="10">
        <v>30</v>
      </c>
      <c r="N440" s="121">
        <f t="shared" si="39"/>
        <v>15</v>
      </c>
      <c r="O440" s="2">
        <v>2018</v>
      </c>
    </row>
    <row r="441" spans="1:15" ht="18.75">
      <c r="A441" s="8">
        <v>28</v>
      </c>
      <c r="B441" s="37" t="s">
        <v>671</v>
      </c>
      <c r="C441" s="2" t="s">
        <v>2161</v>
      </c>
      <c r="D441" s="2">
        <v>1</v>
      </c>
      <c r="E441" s="2" t="s">
        <v>672</v>
      </c>
      <c r="F441" s="1">
        <f t="shared" si="38"/>
        <v>0.75</v>
      </c>
      <c r="G441" s="2" t="s">
        <v>17</v>
      </c>
      <c r="H441" s="2"/>
      <c r="I441" s="2"/>
      <c r="J441" s="2"/>
      <c r="K441" s="2"/>
      <c r="L441" s="2"/>
      <c r="M441" s="121">
        <v>20</v>
      </c>
      <c r="N441" s="121">
        <f t="shared" si="39"/>
        <v>15</v>
      </c>
      <c r="O441" s="2">
        <v>2018</v>
      </c>
    </row>
    <row r="442" spans="1:15" ht="18.75">
      <c r="A442" s="18">
        <v>28</v>
      </c>
      <c r="B442" s="37" t="s">
        <v>553</v>
      </c>
      <c r="C442" s="2" t="s">
        <v>2161</v>
      </c>
      <c r="D442" s="2">
        <v>1</v>
      </c>
      <c r="E442" s="2" t="s">
        <v>636</v>
      </c>
      <c r="F442" s="1">
        <f t="shared" si="38"/>
        <v>0.75</v>
      </c>
      <c r="G442" s="2" t="s">
        <v>17</v>
      </c>
      <c r="H442" s="14"/>
      <c r="I442" s="2"/>
      <c r="J442" s="2"/>
      <c r="K442" s="2"/>
      <c r="L442" s="2"/>
      <c r="M442" s="43">
        <v>50</v>
      </c>
      <c r="N442" s="43">
        <f t="shared" si="39"/>
        <v>37.5</v>
      </c>
      <c r="O442" s="2">
        <v>2018</v>
      </c>
    </row>
    <row r="443" spans="1:15" ht="18.75">
      <c r="A443" s="8">
        <v>28</v>
      </c>
      <c r="B443" s="37" t="s">
        <v>573</v>
      </c>
      <c r="C443" s="2" t="s">
        <v>2161</v>
      </c>
      <c r="D443" s="2">
        <v>1</v>
      </c>
      <c r="E443" s="2"/>
      <c r="F443" s="1">
        <f t="shared" si="38"/>
        <v>0.5</v>
      </c>
      <c r="G443" s="2" t="s">
        <v>21</v>
      </c>
      <c r="H443" s="2"/>
      <c r="I443" s="2"/>
      <c r="J443" s="2"/>
      <c r="K443" s="2"/>
      <c r="L443" s="2"/>
      <c r="M443" s="10">
        <v>18</v>
      </c>
      <c r="N443" s="10">
        <f t="shared" si="39"/>
        <v>9</v>
      </c>
      <c r="O443" s="2"/>
    </row>
    <row r="444" spans="1:15" ht="18.75">
      <c r="A444" s="8">
        <v>28</v>
      </c>
      <c r="B444" s="37" t="s">
        <v>587</v>
      </c>
      <c r="C444" s="2" t="s">
        <v>2161</v>
      </c>
      <c r="D444" s="2">
        <v>1</v>
      </c>
      <c r="E444" s="2"/>
      <c r="F444" s="1">
        <f t="shared" si="38"/>
        <v>0.5</v>
      </c>
      <c r="G444" s="2" t="s">
        <v>21</v>
      </c>
      <c r="H444" s="2"/>
      <c r="I444" s="2"/>
      <c r="J444" s="2"/>
      <c r="K444" s="2"/>
      <c r="L444" s="2"/>
      <c r="M444" s="10"/>
      <c r="N444" s="10">
        <f t="shared" si="39"/>
        <v>0</v>
      </c>
      <c r="O444" s="2"/>
    </row>
    <row r="445" spans="1:15" ht="18.75">
      <c r="A445" s="8">
        <v>28</v>
      </c>
      <c r="B445" s="37" t="s">
        <v>673</v>
      </c>
      <c r="C445" s="2" t="s">
        <v>2161</v>
      </c>
      <c r="D445" s="2">
        <v>1</v>
      </c>
      <c r="E445" s="2"/>
      <c r="F445" s="1">
        <f t="shared" si="38"/>
        <v>0.5</v>
      </c>
      <c r="G445" s="2" t="s">
        <v>21</v>
      </c>
      <c r="H445" s="2"/>
      <c r="I445" s="2"/>
      <c r="J445" s="2"/>
      <c r="K445" s="2"/>
      <c r="L445" s="2"/>
      <c r="M445" s="10"/>
      <c r="N445" s="10">
        <f t="shared" si="39"/>
        <v>0</v>
      </c>
      <c r="O445" s="2"/>
    </row>
    <row r="446" spans="1:15" ht="18.75">
      <c r="A446" s="8">
        <v>28</v>
      </c>
      <c r="B446" s="37" t="s">
        <v>591</v>
      </c>
      <c r="C446" s="2" t="s">
        <v>2161</v>
      </c>
      <c r="D446" s="2">
        <v>6</v>
      </c>
      <c r="E446" s="2" t="s">
        <v>705</v>
      </c>
      <c r="F446" s="1">
        <f t="shared" si="38"/>
        <v>0.5</v>
      </c>
      <c r="G446" s="2" t="s">
        <v>21</v>
      </c>
      <c r="H446" s="2"/>
      <c r="I446" s="2"/>
      <c r="J446" s="2"/>
      <c r="K446" s="2"/>
      <c r="L446" s="2"/>
      <c r="M446" s="10">
        <f>12*2+5*4</f>
        <v>44</v>
      </c>
      <c r="N446" s="10">
        <f t="shared" si="39"/>
        <v>22</v>
      </c>
      <c r="O446" s="2"/>
    </row>
    <row r="447" spans="1:15" ht="18.75">
      <c r="A447" s="8">
        <v>28</v>
      </c>
      <c r="B447" s="37" t="s">
        <v>674</v>
      </c>
      <c r="C447" s="2" t="s">
        <v>2161</v>
      </c>
      <c r="D447" s="2">
        <v>1</v>
      </c>
      <c r="E447" s="2" t="s">
        <v>561</v>
      </c>
      <c r="F447" s="1">
        <f t="shared" si="38"/>
        <v>0.5</v>
      </c>
      <c r="G447" s="2" t="s">
        <v>21</v>
      </c>
      <c r="H447" s="2"/>
      <c r="I447" s="2"/>
      <c r="J447" s="2"/>
      <c r="K447" s="2"/>
      <c r="L447" s="2"/>
      <c r="M447" s="10">
        <v>8</v>
      </c>
      <c r="N447" s="10">
        <f t="shared" si="39"/>
        <v>4</v>
      </c>
      <c r="O447" s="2"/>
    </row>
    <row r="448" spans="1:15" ht="32.25">
      <c r="A448" s="8">
        <v>28</v>
      </c>
      <c r="B448" s="37" t="s">
        <v>706</v>
      </c>
      <c r="C448" s="2" t="s">
        <v>2161</v>
      </c>
      <c r="D448" s="2">
        <v>3</v>
      </c>
      <c r="E448" s="2"/>
      <c r="F448" s="1">
        <f t="shared" si="38"/>
        <v>0.25</v>
      </c>
      <c r="G448" s="2" t="s">
        <v>143</v>
      </c>
      <c r="H448" s="2"/>
      <c r="I448" s="2"/>
      <c r="J448" s="2"/>
      <c r="K448" s="2"/>
      <c r="L448" s="2"/>
      <c r="M448" s="10">
        <f>69.2*2+164</f>
        <v>302.39999999999998</v>
      </c>
      <c r="N448" s="121">
        <f t="shared" si="39"/>
        <v>75.599999999999994</v>
      </c>
      <c r="O448" s="2"/>
    </row>
    <row r="450" spans="1:15">
      <c r="A450" s="11" t="s">
        <v>708</v>
      </c>
    </row>
    <row r="451" spans="1:15" ht="18" customHeight="1">
      <c r="A451" s="18" t="s">
        <v>721</v>
      </c>
      <c r="B451" s="9" t="s">
        <v>722</v>
      </c>
      <c r="C451" s="2" t="s">
        <v>2161</v>
      </c>
      <c r="D451" s="2">
        <v>2</v>
      </c>
      <c r="E451" s="2" t="s">
        <v>723</v>
      </c>
      <c r="F451" s="1">
        <f t="shared" ref="F451:F492" si="40">IF(G451="fair",0.5,0)+IF(G451="good",0.75,0)+IF(G451="poor",0.25,0)+IF(G451="like new",0.9,0)+IF(G451="new",1,0)</f>
        <v>0.75</v>
      </c>
      <c r="G451" s="2" t="s">
        <v>16</v>
      </c>
      <c r="H451" s="2"/>
      <c r="I451" s="2"/>
      <c r="J451" s="2"/>
      <c r="K451" s="2">
        <v>84</v>
      </c>
      <c r="L451" s="2">
        <v>60</v>
      </c>
      <c r="M451" s="10">
        <f>500*2</f>
        <v>1000</v>
      </c>
      <c r="N451" s="10">
        <f t="shared" ref="N451:N472" si="41">F451*M451</f>
        <v>750</v>
      </c>
      <c r="O451" s="2">
        <v>2018</v>
      </c>
    </row>
    <row r="452" spans="1:15" ht="18" customHeight="1">
      <c r="A452" s="18" t="s">
        <v>721</v>
      </c>
      <c r="B452" s="9" t="s">
        <v>724</v>
      </c>
      <c r="C452" s="2" t="s">
        <v>2161</v>
      </c>
      <c r="D452" s="2">
        <v>2</v>
      </c>
      <c r="E452" s="2" t="s">
        <v>718</v>
      </c>
      <c r="F452" s="1">
        <f t="shared" si="40"/>
        <v>0.75</v>
      </c>
      <c r="G452" s="2" t="s">
        <v>16</v>
      </c>
      <c r="H452" s="2"/>
      <c r="I452" s="2"/>
      <c r="J452" s="2"/>
      <c r="K452" s="2">
        <v>84</v>
      </c>
      <c r="L452" s="2">
        <v>60</v>
      </c>
      <c r="M452" s="10">
        <f>200*2</f>
        <v>400</v>
      </c>
      <c r="N452" s="10">
        <f t="shared" si="41"/>
        <v>300</v>
      </c>
      <c r="O452" s="2">
        <v>2018</v>
      </c>
    </row>
    <row r="453" spans="1:15" ht="18" customHeight="1">
      <c r="A453" s="18" t="s">
        <v>721</v>
      </c>
      <c r="B453" s="9" t="s">
        <v>578</v>
      </c>
      <c r="C453" s="2" t="s">
        <v>2161</v>
      </c>
      <c r="D453" s="2">
        <v>8</v>
      </c>
      <c r="E453" s="2" t="s">
        <v>723</v>
      </c>
      <c r="F453" s="1">
        <f t="shared" si="40"/>
        <v>0.75</v>
      </c>
      <c r="G453" s="2" t="s">
        <v>16</v>
      </c>
      <c r="H453" s="2"/>
      <c r="I453" s="2"/>
      <c r="J453" s="2"/>
      <c r="K453" s="2">
        <v>82</v>
      </c>
      <c r="L453" s="2">
        <v>42</v>
      </c>
      <c r="M453" s="10">
        <f>300*8</f>
        <v>2400</v>
      </c>
      <c r="N453" s="10">
        <f t="shared" si="41"/>
        <v>1800</v>
      </c>
      <c r="O453" s="2">
        <v>2018</v>
      </c>
    </row>
    <row r="454" spans="1:15" ht="18" customHeight="1">
      <c r="A454" s="18" t="s">
        <v>721</v>
      </c>
      <c r="B454" s="9" t="s">
        <v>581</v>
      </c>
      <c r="C454" s="2" t="s">
        <v>2161</v>
      </c>
      <c r="D454" s="2">
        <v>8</v>
      </c>
      <c r="E454" s="2" t="s">
        <v>718</v>
      </c>
      <c r="F454" s="1">
        <f t="shared" si="40"/>
        <v>0.75</v>
      </c>
      <c r="G454" s="2" t="s">
        <v>16</v>
      </c>
      <c r="H454" s="11"/>
      <c r="I454" s="2"/>
      <c r="J454" s="2"/>
      <c r="K454" s="2">
        <v>82</v>
      </c>
      <c r="L454" s="2">
        <v>42</v>
      </c>
      <c r="M454" s="10">
        <f>75*8</f>
        <v>600</v>
      </c>
      <c r="N454" s="10">
        <f t="shared" si="41"/>
        <v>450</v>
      </c>
      <c r="O454" s="2">
        <v>2018</v>
      </c>
    </row>
    <row r="455" spans="1:15" ht="18" customHeight="1">
      <c r="A455" s="18" t="s">
        <v>721</v>
      </c>
      <c r="B455" s="9" t="s">
        <v>725</v>
      </c>
      <c r="C455" s="2" t="s">
        <v>2161</v>
      </c>
      <c r="D455" s="2">
        <v>4</v>
      </c>
      <c r="E455" s="2" t="s">
        <v>726</v>
      </c>
      <c r="F455" s="1">
        <f t="shared" si="40"/>
        <v>0.75</v>
      </c>
      <c r="G455" s="2" t="s">
        <v>16</v>
      </c>
      <c r="H455" s="2" t="s">
        <v>727</v>
      </c>
      <c r="I455" s="2"/>
      <c r="J455" s="2"/>
      <c r="K455" s="2">
        <v>22</v>
      </c>
      <c r="L455" s="2">
        <v>16</v>
      </c>
      <c r="M455" s="10">
        <f>50*4</f>
        <v>200</v>
      </c>
      <c r="N455" s="10">
        <f t="shared" si="41"/>
        <v>150</v>
      </c>
      <c r="O455" s="2">
        <v>2018</v>
      </c>
    </row>
    <row r="456" spans="1:15" ht="18" customHeight="1">
      <c r="A456" s="18" t="s">
        <v>721</v>
      </c>
      <c r="B456" s="9" t="s">
        <v>728</v>
      </c>
      <c r="C456" s="2" t="s">
        <v>2161</v>
      </c>
      <c r="D456" s="2">
        <v>4</v>
      </c>
      <c r="E456" s="2" t="s">
        <v>729</v>
      </c>
      <c r="F456" s="1">
        <f t="shared" si="40"/>
        <v>0.75</v>
      </c>
      <c r="G456" s="2" t="s">
        <v>16</v>
      </c>
      <c r="H456" s="2" t="s">
        <v>730</v>
      </c>
      <c r="I456" s="2"/>
      <c r="J456" s="2"/>
      <c r="K456" s="2">
        <v>24</v>
      </c>
      <c r="L456" s="2"/>
      <c r="M456" s="10">
        <f>118*2</f>
        <v>236</v>
      </c>
      <c r="N456" s="10">
        <f t="shared" si="41"/>
        <v>177</v>
      </c>
      <c r="O456" s="2">
        <v>2018</v>
      </c>
    </row>
    <row r="457" spans="1:15" ht="18" customHeight="1">
      <c r="A457" s="18" t="s">
        <v>721</v>
      </c>
      <c r="B457" s="9" t="s">
        <v>731</v>
      </c>
      <c r="C457" s="2" t="s">
        <v>2161</v>
      </c>
      <c r="D457" s="2">
        <v>1</v>
      </c>
      <c r="E457" s="2" t="s">
        <v>732</v>
      </c>
      <c r="F457" s="1">
        <f t="shared" si="40"/>
        <v>0.75</v>
      </c>
      <c r="G457" s="2" t="s">
        <v>17</v>
      </c>
      <c r="H457" s="2"/>
      <c r="I457" s="2"/>
      <c r="J457" s="2"/>
      <c r="K457" s="2">
        <v>24</v>
      </c>
      <c r="L457" s="2"/>
      <c r="M457" s="10">
        <v>35</v>
      </c>
      <c r="N457" s="10">
        <f t="shared" si="41"/>
        <v>26.25</v>
      </c>
      <c r="O457" s="2"/>
    </row>
    <row r="458" spans="1:15" ht="41.25" customHeight="1">
      <c r="A458" s="18" t="s">
        <v>721</v>
      </c>
      <c r="B458" s="9" t="s">
        <v>733</v>
      </c>
      <c r="C458" s="2" t="s">
        <v>2161</v>
      </c>
      <c r="D458" s="2">
        <v>8</v>
      </c>
      <c r="E458" s="2" t="s">
        <v>734</v>
      </c>
      <c r="F458" s="1">
        <f t="shared" si="40"/>
        <v>0.75</v>
      </c>
      <c r="G458" s="2" t="s">
        <v>17</v>
      </c>
      <c r="H458" s="2"/>
      <c r="I458" s="2"/>
      <c r="J458" s="2"/>
      <c r="K458" s="2" t="s">
        <v>735</v>
      </c>
      <c r="L458" s="2">
        <v>28</v>
      </c>
      <c r="M458" s="10">
        <f>20*6</f>
        <v>120</v>
      </c>
      <c r="N458" s="10">
        <f t="shared" si="41"/>
        <v>90</v>
      </c>
      <c r="O458" s="2">
        <v>2018</v>
      </c>
    </row>
    <row r="459" spans="1:15" ht="18" customHeight="1">
      <c r="A459" s="18" t="s">
        <v>721</v>
      </c>
      <c r="B459" s="9" t="s">
        <v>736</v>
      </c>
      <c r="C459" s="2" t="s">
        <v>2161</v>
      </c>
      <c r="D459" s="2">
        <v>4</v>
      </c>
      <c r="E459" s="2" t="s">
        <v>737</v>
      </c>
      <c r="F459" s="1">
        <f t="shared" si="40"/>
        <v>0.75</v>
      </c>
      <c r="G459" s="2" t="s">
        <v>17</v>
      </c>
      <c r="H459" s="2"/>
      <c r="I459" s="2"/>
      <c r="J459" s="2"/>
      <c r="K459" s="2">
        <v>78</v>
      </c>
      <c r="L459" s="2">
        <v>30</v>
      </c>
      <c r="M459" s="10">
        <f>100*6</f>
        <v>600</v>
      </c>
      <c r="N459" s="10">
        <f t="shared" si="41"/>
        <v>450</v>
      </c>
      <c r="O459" s="2"/>
    </row>
    <row r="460" spans="1:15" ht="18" customHeight="1">
      <c r="A460" s="18" t="s">
        <v>721</v>
      </c>
      <c r="B460" s="9" t="s">
        <v>738</v>
      </c>
      <c r="C460" s="2" t="s">
        <v>2161</v>
      </c>
      <c r="D460" s="2">
        <v>4</v>
      </c>
      <c r="E460" s="2" t="s">
        <v>739</v>
      </c>
      <c r="F460" s="1">
        <f t="shared" si="40"/>
        <v>0.25</v>
      </c>
      <c r="G460" s="2" t="s">
        <v>143</v>
      </c>
      <c r="H460" s="2"/>
      <c r="I460" s="2"/>
      <c r="J460" s="2"/>
      <c r="K460" s="2">
        <v>40</v>
      </c>
      <c r="L460" s="2">
        <v>18</v>
      </c>
      <c r="M460" s="10">
        <f>60*4</f>
        <v>240</v>
      </c>
      <c r="N460" s="10">
        <f t="shared" si="41"/>
        <v>60</v>
      </c>
      <c r="O460" s="2">
        <v>2006</v>
      </c>
    </row>
    <row r="461" spans="1:15" ht="18" customHeight="1">
      <c r="A461" s="18" t="s">
        <v>721</v>
      </c>
      <c r="B461" s="9" t="s">
        <v>2052</v>
      </c>
      <c r="C461" s="2" t="s">
        <v>2161</v>
      </c>
      <c r="D461" s="2">
        <v>4</v>
      </c>
      <c r="E461" s="2" t="s">
        <v>740</v>
      </c>
      <c r="F461" s="1">
        <f t="shared" si="40"/>
        <v>0.5</v>
      </c>
      <c r="G461" s="2" t="s">
        <v>21</v>
      </c>
      <c r="H461" s="2"/>
      <c r="I461" s="2"/>
      <c r="J461" s="2"/>
      <c r="K461" s="2">
        <v>36</v>
      </c>
      <c r="L461" s="2">
        <v>16</v>
      </c>
      <c r="M461" s="10">
        <f>50*4</f>
        <v>200</v>
      </c>
      <c r="N461" s="10">
        <f t="shared" si="41"/>
        <v>100</v>
      </c>
      <c r="O461" s="2"/>
    </row>
    <row r="462" spans="1:15" ht="18" customHeight="1">
      <c r="A462" s="18" t="s">
        <v>721</v>
      </c>
      <c r="B462" s="9" t="s">
        <v>292</v>
      </c>
      <c r="C462" s="2" t="s">
        <v>2161</v>
      </c>
      <c r="D462" s="2">
        <v>2</v>
      </c>
      <c r="E462" s="2" t="s">
        <v>741</v>
      </c>
      <c r="F462" s="1">
        <f t="shared" si="40"/>
        <v>0.75</v>
      </c>
      <c r="G462" s="2" t="s">
        <v>17</v>
      </c>
      <c r="H462" s="2" t="s">
        <v>290</v>
      </c>
      <c r="I462" s="2" t="s">
        <v>742</v>
      </c>
      <c r="J462" s="2"/>
      <c r="K462" s="2"/>
      <c r="L462" s="2"/>
      <c r="M462" s="10">
        <f>48*2</f>
        <v>96</v>
      </c>
      <c r="N462" s="10">
        <f t="shared" si="41"/>
        <v>72</v>
      </c>
      <c r="O462" s="2">
        <v>2016</v>
      </c>
    </row>
    <row r="463" spans="1:15" ht="18" customHeight="1">
      <c r="A463" s="18" t="s">
        <v>721</v>
      </c>
      <c r="B463" s="9" t="s">
        <v>743</v>
      </c>
      <c r="C463" s="2" t="s">
        <v>2161</v>
      </c>
      <c r="D463" s="2">
        <v>1</v>
      </c>
      <c r="E463" s="2" t="s">
        <v>744</v>
      </c>
      <c r="F463" s="1">
        <f t="shared" si="40"/>
        <v>0.75</v>
      </c>
      <c r="G463" s="2" t="s">
        <v>16</v>
      </c>
      <c r="H463" s="2"/>
      <c r="I463" s="2"/>
      <c r="J463" s="2"/>
      <c r="K463" s="2">
        <v>55</v>
      </c>
      <c r="L463" s="2">
        <v>23</v>
      </c>
      <c r="M463" s="10">
        <v>129</v>
      </c>
      <c r="N463" s="10">
        <f t="shared" si="41"/>
        <v>96.75</v>
      </c>
      <c r="O463" s="2">
        <v>2015</v>
      </c>
    </row>
    <row r="464" spans="1:15" ht="18" customHeight="1">
      <c r="A464" s="18" t="s">
        <v>721</v>
      </c>
      <c r="B464" s="9" t="s">
        <v>644</v>
      </c>
      <c r="C464" s="2" t="s">
        <v>2161</v>
      </c>
      <c r="D464" s="2">
        <v>1</v>
      </c>
      <c r="E464" s="2" t="s">
        <v>745</v>
      </c>
      <c r="F464" s="1">
        <f t="shared" si="40"/>
        <v>0.5</v>
      </c>
      <c r="G464" s="2" t="s">
        <v>21</v>
      </c>
      <c r="H464" s="2" t="s">
        <v>746</v>
      </c>
      <c r="I464" s="2"/>
      <c r="J464" s="2"/>
      <c r="K464" s="2">
        <v>32</v>
      </c>
      <c r="L464" s="2">
        <v>18</v>
      </c>
      <c r="M464" s="10">
        <v>158</v>
      </c>
      <c r="N464" s="10">
        <f t="shared" si="41"/>
        <v>79</v>
      </c>
      <c r="O464" s="2"/>
    </row>
    <row r="465" spans="1:15" ht="18" customHeight="1">
      <c r="A465" s="18" t="s">
        <v>721</v>
      </c>
      <c r="B465" s="9" t="s">
        <v>296</v>
      </c>
      <c r="C465" s="2" t="s">
        <v>2161</v>
      </c>
      <c r="D465" s="2">
        <v>1</v>
      </c>
      <c r="E465" s="2" t="s">
        <v>561</v>
      </c>
      <c r="F465" s="1">
        <f t="shared" si="40"/>
        <v>0.75</v>
      </c>
      <c r="G465" s="2" t="s">
        <v>17</v>
      </c>
      <c r="H465" s="2" t="s">
        <v>563</v>
      </c>
      <c r="I465" s="2" t="s">
        <v>747</v>
      </c>
      <c r="J465" s="2"/>
      <c r="K465" s="2">
        <v>19</v>
      </c>
      <c r="L465" s="2">
        <v>10</v>
      </c>
      <c r="M465" s="10">
        <v>60</v>
      </c>
      <c r="N465" s="10">
        <f t="shared" si="41"/>
        <v>45</v>
      </c>
      <c r="O465" s="2">
        <v>2015</v>
      </c>
    </row>
    <row r="466" spans="1:15" ht="18" customHeight="1">
      <c r="A466" s="18" t="s">
        <v>721</v>
      </c>
      <c r="B466" s="9" t="s">
        <v>748</v>
      </c>
      <c r="C466" s="2" t="s">
        <v>2161</v>
      </c>
      <c r="D466" s="2">
        <v>1</v>
      </c>
      <c r="E466" s="2" t="s">
        <v>2192</v>
      </c>
      <c r="F466" s="1">
        <f t="shared" si="40"/>
        <v>0.75</v>
      </c>
      <c r="G466" s="2" t="s">
        <v>17</v>
      </c>
      <c r="H466" s="2" t="s">
        <v>583</v>
      </c>
      <c r="I466" s="2" t="s">
        <v>584</v>
      </c>
      <c r="J466" s="2"/>
      <c r="K466" s="15"/>
      <c r="L466" s="2"/>
      <c r="M466" s="10">
        <v>30</v>
      </c>
      <c r="N466" s="10">
        <f t="shared" si="41"/>
        <v>22.5</v>
      </c>
      <c r="O466" s="2">
        <v>2017</v>
      </c>
    </row>
    <row r="467" spans="1:15" ht="18" customHeight="1">
      <c r="A467" s="18" t="s">
        <v>721</v>
      </c>
      <c r="B467" s="9" t="s">
        <v>749</v>
      </c>
      <c r="C467" s="2" t="s">
        <v>2161</v>
      </c>
      <c r="D467" s="2">
        <v>3</v>
      </c>
      <c r="E467" s="2" t="s">
        <v>750</v>
      </c>
      <c r="F467" s="1">
        <f t="shared" si="40"/>
        <v>0.75</v>
      </c>
      <c r="G467" s="2" t="s">
        <v>17</v>
      </c>
      <c r="H467" s="2"/>
      <c r="I467" s="2"/>
      <c r="J467" s="2"/>
      <c r="K467" s="15"/>
      <c r="L467" s="2"/>
      <c r="M467" s="10">
        <v>43</v>
      </c>
      <c r="N467" s="10">
        <f t="shared" si="41"/>
        <v>32.25</v>
      </c>
      <c r="O467" s="2">
        <v>2014</v>
      </c>
    </row>
    <row r="468" spans="1:15" ht="18.75">
      <c r="A468" s="18" t="s">
        <v>721</v>
      </c>
      <c r="B468" s="9" t="s">
        <v>751</v>
      </c>
      <c r="C468" s="2" t="s">
        <v>2161</v>
      </c>
      <c r="D468" s="2">
        <v>2</v>
      </c>
      <c r="E468" s="2" t="s">
        <v>2232</v>
      </c>
      <c r="F468" s="1">
        <f t="shared" si="40"/>
        <v>0.25</v>
      </c>
      <c r="G468" s="2" t="s">
        <v>143</v>
      </c>
      <c r="H468" s="2"/>
      <c r="I468" s="2"/>
      <c r="J468" s="2"/>
      <c r="K468" s="2">
        <v>80</v>
      </c>
      <c r="L468" s="2">
        <v>33</v>
      </c>
      <c r="M468" s="10">
        <f>299*2</f>
        <v>598</v>
      </c>
      <c r="N468" s="10">
        <f t="shared" si="41"/>
        <v>149.5</v>
      </c>
      <c r="O468" s="2">
        <v>2001</v>
      </c>
    </row>
    <row r="469" spans="1:15" ht="18.75">
      <c r="A469" s="18" t="s">
        <v>721</v>
      </c>
      <c r="B469" s="9" t="s">
        <v>752</v>
      </c>
      <c r="C469" s="2" t="s">
        <v>2161</v>
      </c>
      <c r="D469" s="2">
        <v>1</v>
      </c>
      <c r="E469" s="2" t="s">
        <v>2329</v>
      </c>
      <c r="F469" s="1">
        <f t="shared" si="40"/>
        <v>0.25</v>
      </c>
      <c r="G469" s="2" t="s">
        <v>143</v>
      </c>
      <c r="H469" s="2"/>
      <c r="I469" s="2"/>
      <c r="J469" s="2"/>
      <c r="K469" s="2">
        <v>39</v>
      </c>
      <c r="L469" s="2">
        <v>33</v>
      </c>
      <c r="M469" s="10">
        <v>200</v>
      </c>
      <c r="N469" s="10">
        <f t="shared" si="41"/>
        <v>50</v>
      </c>
      <c r="O469" s="2">
        <v>2001</v>
      </c>
    </row>
    <row r="470" spans="1:15" ht="18.75">
      <c r="A470" s="18" t="s">
        <v>721</v>
      </c>
      <c r="B470" s="9" t="s">
        <v>753</v>
      </c>
      <c r="C470" s="2" t="s">
        <v>2161</v>
      </c>
      <c r="D470" s="2">
        <v>1</v>
      </c>
      <c r="E470" s="2" t="s">
        <v>754</v>
      </c>
      <c r="F470" s="1">
        <f t="shared" si="40"/>
        <v>0.25</v>
      </c>
      <c r="G470" s="2" t="s">
        <v>143</v>
      </c>
      <c r="H470" s="2"/>
      <c r="I470" s="2"/>
      <c r="J470" s="2"/>
      <c r="K470" s="15" t="s">
        <v>755</v>
      </c>
      <c r="L470" s="2"/>
      <c r="M470" s="10">
        <v>300</v>
      </c>
      <c r="N470" s="10">
        <f t="shared" si="41"/>
        <v>75</v>
      </c>
      <c r="O470" s="2">
        <v>2001</v>
      </c>
    </row>
    <row r="471" spans="1:15" ht="18.75">
      <c r="A471" s="18" t="s">
        <v>721</v>
      </c>
      <c r="B471" s="9" t="s">
        <v>2104</v>
      </c>
      <c r="C471" s="2" t="s">
        <v>2161</v>
      </c>
      <c r="D471" s="2">
        <v>4</v>
      </c>
      <c r="E471" s="2" t="s">
        <v>756</v>
      </c>
      <c r="F471" s="1">
        <f t="shared" si="40"/>
        <v>0.25</v>
      </c>
      <c r="G471" s="2" t="s">
        <v>143</v>
      </c>
      <c r="H471" s="2"/>
      <c r="I471" s="2"/>
      <c r="J471" s="2"/>
      <c r="K471" s="15"/>
      <c r="L471" s="2"/>
      <c r="M471" s="10">
        <f>150*4</f>
        <v>600</v>
      </c>
      <c r="N471" s="10">
        <f t="shared" si="41"/>
        <v>150</v>
      </c>
      <c r="O471" s="2">
        <v>2001</v>
      </c>
    </row>
    <row r="472" spans="1:15" ht="80.25" customHeight="1">
      <c r="A472" s="18" t="s">
        <v>721</v>
      </c>
      <c r="B472" s="9" t="s">
        <v>2105</v>
      </c>
      <c r="C472" s="2" t="s">
        <v>2161</v>
      </c>
      <c r="D472" s="2">
        <v>5</v>
      </c>
      <c r="E472" s="2" t="s">
        <v>757</v>
      </c>
      <c r="F472" s="1">
        <f t="shared" si="40"/>
        <v>0.25</v>
      </c>
      <c r="G472" s="2" t="s">
        <v>143</v>
      </c>
      <c r="H472" s="2"/>
      <c r="I472" s="2"/>
      <c r="J472" s="2"/>
      <c r="K472" s="2" t="s">
        <v>758</v>
      </c>
      <c r="L472" s="2"/>
      <c r="M472" s="10">
        <f>69.2+(164*2)+37.5+164</f>
        <v>598.70000000000005</v>
      </c>
      <c r="N472" s="10">
        <f t="shared" si="41"/>
        <v>149.67500000000001</v>
      </c>
      <c r="O472" s="2"/>
    </row>
    <row r="473" spans="1:15" ht="18.75">
      <c r="A473" s="18" t="s">
        <v>721</v>
      </c>
      <c r="B473" s="9" t="s">
        <v>759</v>
      </c>
      <c r="C473" s="2" t="s">
        <v>2161</v>
      </c>
      <c r="D473" s="2">
        <v>1</v>
      </c>
      <c r="E473" s="2" t="s">
        <v>2106</v>
      </c>
      <c r="F473" s="1">
        <f t="shared" si="40"/>
        <v>0.25</v>
      </c>
      <c r="G473" s="2" t="s">
        <v>143</v>
      </c>
      <c r="H473" s="2"/>
      <c r="I473" s="2"/>
      <c r="J473" s="2"/>
      <c r="K473" s="2">
        <v>30</v>
      </c>
      <c r="L473" s="2">
        <v>30</v>
      </c>
      <c r="M473" s="10">
        <v>50</v>
      </c>
      <c r="N473" s="10"/>
      <c r="O473" s="2">
        <v>2001</v>
      </c>
    </row>
    <row r="474" spans="1:15" ht="18.75">
      <c r="A474" s="18" t="s">
        <v>721</v>
      </c>
      <c r="B474" s="9" t="s">
        <v>761</v>
      </c>
      <c r="C474" s="2" t="s">
        <v>2161</v>
      </c>
      <c r="D474" s="2">
        <v>1</v>
      </c>
      <c r="E474" s="2" t="s">
        <v>762</v>
      </c>
      <c r="F474" s="1">
        <f t="shared" si="40"/>
        <v>0.75</v>
      </c>
      <c r="G474" s="2" t="s">
        <v>17</v>
      </c>
      <c r="H474" s="2"/>
      <c r="I474" s="2"/>
      <c r="J474" s="2"/>
      <c r="K474" s="2">
        <v>28</v>
      </c>
      <c r="L474" s="2">
        <v>22</v>
      </c>
      <c r="M474" s="10">
        <v>100</v>
      </c>
      <c r="N474" s="10">
        <f t="shared" ref="N474:N492" si="42">F474*M474</f>
        <v>75</v>
      </c>
      <c r="O474" s="2">
        <v>2001</v>
      </c>
    </row>
    <row r="475" spans="1:15" ht="18.75">
      <c r="A475" s="18" t="s">
        <v>721</v>
      </c>
      <c r="B475" s="9" t="s">
        <v>763</v>
      </c>
      <c r="C475" s="2" t="s">
        <v>2161</v>
      </c>
      <c r="D475" s="11">
        <v>1</v>
      </c>
      <c r="E475" s="2" t="s">
        <v>561</v>
      </c>
      <c r="F475" s="1">
        <f t="shared" si="40"/>
        <v>0.75</v>
      </c>
      <c r="G475" s="2" t="s">
        <v>16</v>
      </c>
      <c r="H475" s="2" t="s">
        <v>680</v>
      </c>
      <c r="I475" s="2" t="s">
        <v>764</v>
      </c>
      <c r="J475" s="2"/>
      <c r="K475" s="2">
        <v>9</v>
      </c>
      <c r="L475" s="2"/>
      <c r="M475" s="10">
        <v>90</v>
      </c>
      <c r="N475" s="10">
        <f t="shared" si="42"/>
        <v>67.5</v>
      </c>
      <c r="O475" s="2">
        <v>2014</v>
      </c>
    </row>
    <row r="476" spans="1:15" ht="18.75">
      <c r="A476" s="18" t="s">
        <v>721</v>
      </c>
      <c r="B476" s="9" t="s">
        <v>765</v>
      </c>
      <c r="C476" s="2" t="s">
        <v>2161</v>
      </c>
      <c r="D476" s="2">
        <v>1</v>
      </c>
      <c r="E476" s="2" t="s">
        <v>766</v>
      </c>
      <c r="F476" s="1">
        <f t="shared" si="40"/>
        <v>0.75</v>
      </c>
      <c r="G476" s="2" t="s">
        <v>17</v>
      </c>
      <c r="H476" s="2" t="s">
        <v>680</v>
      </c>
      <c r="I476" s="2" t="s">
        <v>767</v>
      </c>
      <c r="J476" s="2"/>
      <c r="K476" s="2" t="s">
        <v>768</v>
      </c>
      <c r="L476" s="2"/>
      <c r="M476" s="10">
        <v>152</v>
      </c>
      <c r="N476" s="10">
        <f t="shared" si="42"/>
        <v>114</v>
      </c>
      <c r="O476" s="2">
        <v>2011</v>
      </c>
    </row>
    <row r="477" spans="1:15" ht="18.75">
      <c r="A477" s="18" t="s">
        <v>721</v>
      </c>
      <c r="B477" s="9" t="s">
        <v>769</v>
      </c>
      <c r="C477" s="2" t="s">
        <v>2161</v>
      </c>
      <c r="D477" s="2">
        <v>8</v>
      </c>
      <c r="E477" s="2" t="s">
        <v>770</v>
      </c>
      <c r="F477" s="1">
        <f t="shared" si="40"/>
        <v>0.75</v>
      </c>
      <c r="G477" s="2" t="s">
        <v>17</v>
      </c>
      <c r="H477" s="2"/>
      <c r="I477" s="2"/>
      <c r="J477" s="2"/>
      <c r="K477" s="2"/>
      <c r="L477" s="2"/>
      <c r="M477" s="10">
        <f>20*8</f>
        <v>160</v>
      </c>
      <c r="N477" s="10">
        <f t="shared" si="42"/>
        <v>120</v>
      </c>
      <c r="O477" s="2">
        <v>2018</v>
      </c>
    </row>
    <row r="478" spans="1:15" ht="18.75">
      <c r="A478" s="18" t="s">
        <v>721</v>
      </c>
      <c r="B478" s="9" t="s">
        <v>226</v>
      </c>
      <c r="C478" s="2" t="s">
        <v>2161</v>
      </c>
      <c r="D478" s="2">
        <v>2</v>
      </c>
      <c r="E478" s="2" t="s">
        <v>771</v>
      </c>
      <c r="F478" s="1">
        <f t="shared" si="40"/>
        <v>0.75</v>
      </c>
      <c r="G478" s="2" t="s">
        <v>17</v>
      </c>
      <c r="H478" s="2"/>
      <c r="I478" s="2"/>
      <c r="J478" s="2"/>
      <c r="K478" s="2"/>
      <c r="L478" s="2"/>
      <c r="M478" s="10">
        <f>100*2</f>
        <v>200</v>
      </c>
      <c r="N478" s="10">
        <f t="shared" si="42"/>
        <v>150</v>
      </c>
      <c r="O478" s="2">
        <v>2018</v>
      </c>
    </row>
    <row r="479" spans="1:15" ht="18.75">
      <c r="A479" s="18" t="s">
        <v>721</v>
      </c>
      <c r="B479" s="9" t="s">
        <v>772</v>
      </c>
      <c r="C479" s="2" t="s">
        <v>2161</v>
      </c>
      <c r="D479" s="2">
        <v>4</v>
      </c>
      <c r="E479" s="2" t="s">
        <v>773</v>
      </c>
      <c r="F479" s="1">
        <f t="shared" si="40"/>
        <v>0.75</v>
      </c>
      <c r="G479" s="2" t="s">
        <v>17</v>
      </c>
      <c r="H479" s="2"/>
      <c r="I479" s="2"/>
      <c r="J479" s="2"/>
      <c r="K479" s="2"/>
      <c r="L479" s="2"/>
      <c r="M479" s="10">
        <f>50*4</f>
        <v>200</v>
      </c>
      <c r="N479" s="10">
        <f t="shared" si="42"/>
        <v>150</v>
      </c>
      <c r="O479" s="2"/>
    </row>
    <row r="480" spans="1:15" ht="18.75">
      <c r="A480" s="18" t="s">
        <v>721</v>
      </c>
      <c r="B480" s="9" t="s">
        <v>774</v>
      </c>
      <c r="C480" s="2" t="s">
        <v>2161</v>
      </c>
      <c r="D480" s="2">
        <v>2</v>
      </c>
      <c r="E480" s="2" t="s">
        <v>775</v>
      </c>
      <c r="F480" s="1">
        <f t="shared" si="40"/>
        <v>0.75</v>
      </c>
      <c r="G480" s="2" t="s">
        <v>17</v>
      </c>
      <c r="H480" s="2"/>
      <c r="I480" s="2"/>
      <c r="J480" s="2"/>
      <c r="K480" s="2"/>
      <c r="L480" s="2"/>
      <c r="M480" s="10">
        <f>100*2</f>
        <v>200</v>
      </c>
      <c r="N480" s="10">
        <f t="shared" si="42"/>
        <v>150</v>
      </c>
      <c r="O480" s="2">
        <v>2018</v>
      </c>
    </row>
    <row r="481" spans="1:15" ht="18.75">
      <c r="A481" s="18" t="s">
        <v>721</v>
      </c>
      <c r="B481" s="9" t="s">
        <v>2053</v>
      </c>
      <c r="C481" s="2" t="s">
        <v>2161</v>
      </c>
      <c r="D481" s="2">
        <v>6</v>
      </c>
      <c r="E481" s="2" t="s">
        <v>776</v>
      </c>
      <c r="F481" s="1">
        <f t="shared" si="40"/>
        <v>0.5</v>
      </c>
      <c r="G481" s="2" t="s">
        <v>21</v>
      </c>
      <c r="H481" s="2"/>
      <c r="I481" s="2"/>
      <c r="J481" s="2"/>
      <c r="K481" s="2">
        <v>25</v>
      </c>
      <c r="L481" s="2">
        <v>9</v>
      </c>
      <c r="M481" s="10">
        <f>16*6</f>
        <v>96</v>
      </c>
      <c r="N481" s="10">
        <f t="shared" si="42"/>
        <v>48</v>
      </c>
      <c r="O481" s="2"/>
    </row>
    <row r="482" spans="1:15" ht="18.75">
      <c r="A482" s="18" t="s">
        <v>721</v>
      </c>
      <c r="B482" s="9" t="s">
        <v>134</v>
      </c>
      <c r="C482" s="2" t="s">
        <v>2057</v>
      </c>
      <c r="D482" s="2">
        <v>1</v>
      </c>
      <c r="E482" s="2" t="s">
        <v>75</v>
      </c>
      <c r="F482" s="1">
        <f t="shared" si="40"/>
        <v>0.75</v>
      </c>
      <c r="G482" s="2" t="s">
        <v>17</v>
      </c>
      <c r="H482" s="2"/>
      <c r="I482" s="2"/>
      <c r="J482" s="2"/>
      <c r="K482" s="2"/>
      <c r="L482" s="2"/>
      <c r="M482" s="10">
        <v>70</v>
      </c>
      <c r="N482" s="10">
        <f t="shared" si="42"/>
        <v>52.5</v>
      </c>
      <c r="O482" s="2"/>
    </row>
    <row r="483" spans="1:15" ht="18.75">
      <c r="A483" s="18" t="s">
        <v>721</v>
      </c>
      <c r="B483" s="9" t="s">
        <v>567</v>
      </c>
      <c r="C483" s="2" t="s">
        <v>2161</v>
      </c>
      <c r="D483" s="2">
        <v>6</v>
      </c>
      <c r="E483" s="2"/>
      <c r="F483" s="1">
        <f t="shared" si="40"/>
        <v>0.75</v>
      </c>
      <c r="G483" s="2" t="s">
        <v>17</v>
      </c>
      <c r="H483" s="2"/>
      <c r="I483" s="2"/>
      <c r="J483" s="2"/>
      <c r="K483" s="2"/>
      <c r="L483" s="2"/>
      <c r="M483" s="10"/>
      <c r="N483" s="10">
        <f t="shared" si="42"/>
        <v>0</v>
      </c>
      <c r="O483" s="2"/>
    </row>
    <row r="484" spans="1:15" ht="18.75">
      <c r="A484" s="18" t="s">
        <v>721</v>
      </c>
      <c r="B484" s="9" t="s">
        <v>777</v>
      </c>
      <c r="C484" s="2" t="s">
        <v>2161</v>
      </c>
      <c r="D484" s="2">
        <v>1</v>
      </c>
      <c r="E484" s="2" t="s">
        <v>2330</v>
      </c>
      <c r="F484" s="1">
        <f t="shared" si="40"/>
        <v>0.5</v>
      </c>
      <c r="G484" s="2" t="s">
        <v>21</v>
      </c>
      <c r="H484" s="2"/>
      <c r="I484" s="2"/>
      <c r="J484" s="2"/>
      <c r="K484" s="2"/>
      <c r="L484" s="2"/>
      <c r="M484" s="10">
        <v>10</v>
      </c>
      <c r="N484" s="10">
        <f t="shared" si="42"/>
        <v>5</v>
      </c>
      <c r="O484" s="2"/>
    </row>
    <row r="485" spans="1:15" ht="18.75">
      <c r="A485" s="18" t="s">
        <v>721</v>
      </c>
      <c r="B485" s="9" t="s">
        <v>233</v>
      </c>
      <c r="C485" s="2" t="s">
        <v>2161</v>
      </c>
      <c r="D485" s="2">
        <v>10</v>
      </c>
      <c r="E485" s="2" t="s">
        <v>778</v>
      </c>
      <c r="F485" s="1">
        <f t="shared" si="40"/>
        <v>0.5</v>
      </c>
      <c r="G485" s="2" t="s">
        <v>21</v>
      </c>
      <c r="H485" s="2"/>
      <c r="I485" s="2"/>
      <c r="J485" s="2"/>
      <c r="K485" s="2"/>
      <c r="L485" s="2"/>
      <c r="M485" s="10">
        <f>18*9+59</f>
        <v>221</v>
      </c>
      <c r="N485" s="121">
        <f t="shared" si="42"/>
        <v>110.5</v>
      </c>
      <c r="O485" s="2"/>
    </row>
    <row r="486" spans="1:15" ht="18.75">
      <c r="A486" s="18" t="s">
        <v>721</v>
      </c>
      <c r="B486" s="9" t="s">
        <v>779</v>
      </c>
      <c r="C486" s="2" t="s">
        <v>2161</v>
      </c>
      <c r="D486" s="2">
        <v>2</v>
      </c>
      <c r="E486" s="2" t="s">
        <v>2331</v>
      </c>
      <c r="F486" s="1">
        <f t="shared" si="40"/>
        <v>0.5</v>
      </c>
      <c r="G486" s="2" t="s">
        <v>21</v>
      </c>
      <c r="H486" s="2"/>
      <c r="I486" s="2"/>
      <c r="J486" s="2"/>
      <c r="K486" s="2"/>
      <c r="L486" s="2"/>
      <c r="M486" s="10">
        <f>30*2</f>
        <v>60</v>
      </c>
      <c r="N486" s="121">
        <f t="shared" si="42"/>
        <v>30</v>
      </c>
      <c r="O486" s="2"/>
    </row>
    <row r="487" spans="1:15" ht="18.75">
      <c r="A487" s="18" t="s">
        <v>721</v>
      </c>
      <c r="B487" s="9" t="s">
        <v>780</v>
      </c>
      <c r="C487" s="2" t="s">
        <v>2161</v>
      </c>
      <c r="D487" s="2">
        <v>4</v>
      </c>
      <c r="E487" s="2" t="s">
        <v>781</v>
      </c>
      <c r="F487" s="1">
        <f t="shared" si="40"/>
        <v>0.75</v>
      </c>
      <c r="G487" s="2" t="s">
        <v>17</v>
      </c>
      <c r="H487" s="2" t="s">
        <v>304</v>
      </c>
      <c r="I487" s="2"/>
      <c r="J487" s="2"/>
      <c r="K487" s="2"/>
      <c r="L487" s="2"/>
      <c r="M487" s="10">
        <v>40</v>
      </c>
      <c r="N487" s="10">
        <f t="shared" si="42"/>
        <v>30</v>
      </c>
      <c r="O487" s="2"/>
    </row>
    <row r="488" spans="1:15" ht="18.75">
      <c r="A488" s="18" t="s">
        <v>721</v>
      </c>
      <c r="B488" s="9" t="s">
        <v>782</v>
      </c>
      <c r="C488" s="2" t="s">
        <v>2161</v>
      </c>
      <c r="D488" s="2">
        <v>4</v>
      </c>
      <c r="E488" s="2" t="s">
        <v>2332</v>
      </c>
      <c r="F488" s="1">
        <f t="shared" si="40"/>
        <v>0.5</v>
      </c>
      <c r="G488" s="2" t="s">
        <v>21</v>
      </c>
      <c r="H488" s="2"/>
      <c r="I488" s="2"/>
      <c r="J488" s="2"/>
      <c r="K488" s="2"/>
      <c r="L488" s="2"/>
      <c r="M488" s="10">
        <f>8*4</f>
        <v>32</v>
      </c>
      <c r="N488" s="121">
        <f t="shared" si="42"/>
        <v>16</v>
      </c>
      <c r="O488" s="2"/>
    </row>
    <row r="489" spans="1:15" ht="18.75">
      <c r="A489" s="18" t="s">
        <v>721</v>
      </c>
      <c r="B489" s="9" t="s">
        <v>591</v>
      </c>
      <c r="C489" s="2" t="s">
        <v>2161</v>
      </c>
      <c r="D489" s="2">
        <v>14</v>
      </c>
      <c r="E489" s="2" t="s">
        <v>2333</v>
      </c>
      <c r="F489" s="1">
        <f t="shared" si="40"/>
        <v>0.5</v>
      </c>
      <c r="G489" s="2" t="s">
        <v>21</v>
      </c>
      <c r="H489" s="2"/>
      <c r="I489" s="2"/>
      <c r="J489" s="2"/>
      <c r="K489" s="2"/>
      <c r="L489" s="2"/>
      <c r="M489" s="10">
        <f>8*14</f>
        <v>112</v>
      </c>
      <c r="N489" s="10">
        <f t="shared" si="42"/>
        <v>56</v>
      </c>
      <c r="O489" s="2"/>
    </row>
    <row r="490" spans="1:15" ht="18.75">
      <c r="A490" s="18" t="s">
        <v>721</v>
      </c>
      <c r="B490" s="9" t="s">
        <v>784</v>
      </c>
      <c r="C490" s="2" t="s">
        <v>2161</v>
      </c>
      <c r="D490" s="2">
        <v>1</v>
      </c>
      <c r="E490" s="2"/>
      <c r="F490" s="1">
        <f t="shared" si="40"/>
        <v>0.5</v>
      </c>
      <c r="G490" s="2" t="s">
        <v>21</v>
      </c>
      <c r="H490" s="2" t="s">
        <v>605</v>
      </c>
      <c r="I490" s="2"/>
      <c r="J490" s="2"/>
      <c r="K490" s="2"/>
      <c r="L490" s="2"/>
      <c r="M490" s="10">
        <v>15</v>
      </c>
      <c r="N490" s="10">
        <f t="shared" si="42"/>
        <v>7.5</v>
      </c>
      <c r="O490" s="2">
        <v>2015</v>
      </c>
    </row>
    <row r="491" spans="1:15" ht="18.75">
      <c r="A491" s="18" t="s">
        <v>721</v>
      </c>
      <c r="B491" s="9" t="s">
        <v>785</v>
      </c>
      <c r="C491" s="2" t="s">
        <v>2161</v>
      </c>
      <c r="D491" s="2">
        <v>1</v>
      </c>
      <c r="E491" s="2"/>
      <c r="F491" s="1">
        <f t="shared" si="40"/>
        <v>0.5</v>
      </c>
      <c r="G491" s="2" t="s">
        <v>21</v>
      </c>
      <c r="H491" s="2" t="s">
        <v>786</v>
      </c>
      <c r="I491" s="2"/>
      <c r="J491" s="2"/>
      <c r="K491" s="2"/>
      <c r="L491" s="2"/>
      <c r="M491" s="10">
        <v>30</v>
      </c>
      <c r="N491" s="10">
        <f t="shared" si="42"/>
        <v>15</v>
      </c>
      <c r="O491" s="2">
        <v>2016</v>
      </c>
    </row>
    <row r="492" spans="1:15" s="23" customFormat="1" ht="18.75">
      <c r="A492" s="20" t="s">
        <v>721</v>
      </c>
      <c r="B492" s="9" t="s">
        <v>719</v>
      </c>
      <c r="C492" s="21" t="s">
        <v>2161</v>
      </c>
      <c r="D492" s="21">
        <v>1</v>
      </c>
      <c r="E492" s="21" t="s">
        <v>720</v>
      </c>
      <c r="F492" s="1">
        <f t="shared" si="40"/>
        <v>0.75</v>
      </c>
      <c r="G492" s="21" t="s">
        <v>17</v>
      </c>
      <c r="H492" s="21"/>
      <c r="I492" s="21"/>
      <c r="J492" s="21"/>
      <c r="K492" s="21"/>
      <c r="L492" s="21"/>
      <c r="M492" s="22">
        <v>19.989999999999998</v>
      </c>
      <c r="N492" s="121">
        <f t="shared" si="42"/>
        <v>14.9925</v>
      </c>
      <c r="O492" s="21"/>
    </row>
    <row r="494" spans="1:15" ht="18.75">
      <c r="A494" s="18" t="s">
        <v>788</v>
      </c>
      <c r="B494" s="9" t="s">
        <v>722</v>
      </c>
      <c r="C494" s="2" t="s">
        <v>2161</v>
      </c>
      <c r="D494" s="2">
        <v>2</v>
      </c>
      <c r="E494" s="2" t="s">
        <v>723</v>
      </c>
      <c r="F494" s="1">
        <f t="shared" ref="F494:F537" si="43">IF(G494="fair",0.5,0)+IF(G494="good",0.75,0)+IF(G494="poor",0.25,0)+IF(G494="like new",0.9,0)+IF(G494="new",1,0)</f>
        <v>0.75</v>
      </c>
      <c r="G494" s="2" t="s">
        <v>16</v>
      </c>
      <c r="H494" s="2"/>
      <c r="I494" s="2"/>
      <c r="J494" s="2"/>
      <c r="K494" s="2">
        <v>84</v>
      </c>
      <c r="L494" s="2">
        <v>60</v>
      </c>
      <c r="M494" s="10">
        <f>500*2</f>
        <v>1000</v>
      </c>
      <c r="N494" s="10">
        <f t="shared" ref="N494:N537" si="44">F494*M494</f>
        <v>750</v>
      </c>
      <c r="O494" s="2">
        <v>2018</v>
      </c>
    </row>
    <row r="495" spans="1:15" ht="18.75">
      <c r="A495" s="18" t="s">
        <v>788</v>
      </c>
      <c r="B495" s="9" t="s">
        <v>724</v>
      </c>
      <c r="C495" s="2" t="s">
        <v>2161</v>
      </c>
      <c r="D495" s="2">
        <v>2</v>
      </c>
      <c r="E495" s="2" t="s">
        <v>718</v>
      </c>
      <c r="F495" s="1">
        <f t="shared" si="43"/>
        <v>0.75</v>
      </c>
      <c r="G495" s="2" t="s">
        <v>16</v>
      </c>
      <c r="H495" s="2"/>
      <c r="I495" s="2"/>
      <c r="J495" s="2"/>
      <c r="K495" s="2">
        <v>84</v>
      </c>
      <c r="L495" s="2">
        <v>60</v>
      </c>
      <c r="M495" s="10">
        <f>200*2</f>
        <v>400</v>
      </c>
      <c r="N495" s="10">
        <f t="shared" si="44"/>
        <v>300</v>
      </c>
      <c r="O495" s="2">
        <v>2018</v>
      </c>
    </row>
    <row r="496" spans="1:15" ht="18.75">
      <c r="A496" s="18" t="s">
        <v>788</v>
      </c>
      <c r="B496" s="9" t="s">
        <v>578</v>
      </c>
      <c r="C496" s="2" t="s">
        <v>2161</v>
      </c>
      <c r="D496" s="2">
        <v>8</v>
      </c>
      <c r="E496" s="2" t="s">
        <v>723</v>
      </c>
      <c r="F496" s="1">
        <f t="shared" si="43"/>
        <v>0.75</v>
      </c>
      <c r="G496" s="2" t="s">
        <v>16</v>
      </c>
      <c r="H496" s="2"/>
      <c r="I496" s="2"/>
      <c r="J496" s="2"/>
      <c r="K496" s="2">
        <v>82</v>
      </c>
      <c r="L496" s="2">
        <v>42</v>
      </c>
      <c r="M496" s="10">
        <f>300*8</f>
        <v>2400</v>
      </c>
      <c r="N496" s="10">
        <f t="shared" si="44"/>
        <v>1800</v>
      </c>
      <c r="O496" s="2">
        <v>2018</v>
      </c>
    </row>
    <row r="497" spans="1:15" ht="18.75">
      <c r="A497" s="18" t="s">
        <v>788</v>
      </c>
      <c r="B497" s="9" t="s">
        <v>581</v>
      </c>
      <c r="C497" s="2" t="s">
        <v>2161</v>
      </c>
      <c r="D497" s="2">
        <v>8</v>
      </c>
      <c r="E497" s="2" t="s">
        <v>718</v>
      </c>
      <c r="F497" s="1">
        <f t="shared" si="43"/>
        <v>0.75</v>
      </c>
      <c r="G497" s="2" t="s">
        <v>16</v>
      </c>
      <c r="H497" s="11"/>
      <c r="I497" s="2"/>
      <c r="J497" s="2"/>
      <c r="K497" s="2">
        <v>82</v>
      </c>
      <c r="L497" s="2">
        <v>42</v>
      </c>
      <c r="M497" s="10">
        <f>75*8</f>
        <v>600</v>
      </c>
      <c r="N497" s="10">
        <f t="shared" si="44"/>
        <v>450</v>
      </c>
      <c r="O497" s="2">
        <v>2018</v>
      </c>
    </row>
    <row r="498" spans="1:15" ht="18.75">
      <c r="A498" s="18" t="s">
        <v>788</v>
      </c>
      <c r="B498" s="9" t="s">
        <v>725</v>
      </c>
      <c r="C498" s="2" t="s">
        <v>2161</v>
      </c>
      <c r="D498" s="2">
        <v>4</v>
      </c>
      <c r="E498" s="2" t="s">
        <v>726</v>
      </c>
      <c r="F498" s="1">
        <f t="shared" si="43"/>
        <v>0.75</v>
      </c>
      <c r="G498" s="2" t="s">
        <v>16</v>
      </c>
      <c r="H498" s="2" t="s">
        <v>727</v>
      </c>
      <c r="I498" s="2"/>
      <c r="J498" s="2"/>
      <c r="K498" s="2">
        <v>22</v>
      </c>
      <c r="L498" s="2">
        <v>16</v>
      </c>
      <c r="M498" s="10">
        <f>50*4</f>
        <v>200</v>
      </c>
      <c r="N498" s="10">
        <f t="shared" si="44"/>
        <v>150</v>
      </c>
      <c r="O498" s="2">
        <v>2018</v>
      </c>
    </row>
    <row r="499" spans="1:15" ht="18.75">
      <c r="A499" s="18" t="s">
        <v>788</v>
      </c>
      <c r="B499" s="9" t="s">
        <v>728</v>
      </c>
      <c r="C499" s="2" t="s">
        <v>2161</v>
      </c>
      <c r="D499" s="2">
        <v>4</v>
      </c>
      <c r="E499" s="2" t="s">
        <v>729</v>
      </c>
      <c r="F499" s="1">
        <f t="shared" si="43"/>
        <v>0.75</v>
      </c>
      <c r="G499" s="2" t="s">
        <v>16</v>
      </c>
      <c r="H499" s="2" t="s">
        <v>730</v>
      </c>
      <c r="I499" s="2"/>
      <c r="J499" s="2"/>
      <c r="K499" s="2">
        <v>24</v>
      </c>
      <c r="L499" s="2"/>
      <c r="M499" s="10">
        <v>236</v>
      </c>
      <c r="N499" s="10">
        <f t="shared" si="44"/>
        <v>177</v>
      </c>
      <c r="O499" s="2">
        <v>2018</v>
      </c>
    </row>
    <row r="500" spans="1:15" ht="18.75">
      <c r="A500" s="18" t="s">
        <v>788</v>
      </c>
      <c r="B500" s="9" t="s">
        <v>731</v>
      </c>
      <c r="C500" s="2" t="s">
        <v>2161</v>
      </c>
      <c r="D500" s="2">
        <v>1</v>
      </c>
      <c r="E500" s="2" t="s">
        <v>789</v>
      </c>
      <c r="F500" s="1">
        <f t="shared" si="43"/>
        <v>0.75</v>
      </c>
      <c r="G500" s="2" t="s">
        <v>17</v>
      </c>
      <c r="H500" s="2"/>
      <c r="I500" s="2"/>
      <c r="J500" s="2"/>
      <c r="K500" s="2">
        <v>29</v>
      </c>
      <c r="L500" s="2"/>
      <c r="M500" s="10">
        <v>35</v>
      </c>
      <c r="N500" s="10">
        <f t="shared" si="44"/>
        <v>26.25</v>
      </c>
      <c r="O500" s="2"/>
    </row>
    <row r="501" spans="1:15" ht="18.75">
      <c r="A501" s="18" t="s">
        <v>788</v>
      </c>
      <c r="B501" s="9" t="s">
        <v>733</v>
      </c>
      <c r="C501" s="2" t="s">
        <v>2161</v>
      </c>
      <c r="D501" s="2">
        <v>7</v>
      </c>
      <c r="E501" s="2" t="s">
        <v>790</v>
      </c>
      <c r="F501" s="1">
        <f t="shared" si="43"/>
        <v>0.75</v>
      </c>
      <c r="G501" s="2" t="s">
        <v>17</v>
      </c>
      <c r="H501" s="2"/>
      <c r="I501" s="2"/>
      <c r="J501" s="2"/>
      <c r="K501" s="2" t="s">
        <v>735</v>
      </c>
      <c r="L501" s="2">
        <v>28</v>
      </c>
      <c r="M501" s="10">
        <f>20*6</f>
        <v>120</v>
      </c>
      <c r="N501" s="10">
        <f t="shared" si="44"/>
        <v>90</v>
      </c>
      <c r="O501" s="2">
        <v>2018</v>
      </c>
    </row>
    <row r="502" spans="1:15" ht="18.75">
      <c r="A502" s="18" t="s">
        <v>788</v>
      </c>
      <c r="B502" s="9" t="s">
        <v>736</v>
      </c>
      <c r="C502" s="2" t="s">
        <v>2161</v>
      </c>
      <c r="D502" s="2">
        <v>4</v>
      </c>
      <c r="E502" s="2" t="s">
        <v>737</v>
      </c>
      <c r="F502" s="1">
        <f t="shared" si="43"/>
        <v>0.75</v>
      </c>
      <c r="G502" s="2" t="s">
        <v>17</v>
      </c>
      <c r="H502" s="2"/>
      <c r="I502" s="2"/>
      <c r="J502" s="2"/>
      <c r="K502" s="2">
        <v>78</v>
      </c>
      <c r="L502" s="2">
        <v>30</v>
      </c>
      <c r="M502" s="10">
        <f>100*6</f>
        <v>600</v>
      </c>
      <c r="N502" s="10">
        <f t="shared" si="44"/>
        <v>450</v>
      </c>
      <c r="O502" s="15"/>
    </row>
    <row r="503" spans="1:15" ht="18.75">
      <c r="A503" s="18" t="s">
        <v>788</v>
      </c>
      <c r="B503" s="9" t="s">
        <v>738</v>
      </c>
      <c r="C503" s="2" t="s">
        <v>2161</v>
      </c>
      <c r="D503" s="2">
        <v>4</v>
      </c>
      <c r="E503" s="2" t="s">
        <v>739</v>
      </c>
      <c r="F503" s="1">
        <f t="shared" si="43"/>
        <v>0.5</v>
      </c>
      <c r="G503" s="2" t="s">
        <v>21</v>
      </c>
      <c r="H503" s="2"/>
      <c r="I503" s="2"/>
      <c r="J503" s="2"/>
      <c r="K503" s="2">
        <v>40</v>
      </c>
      <c r="L503" s="2">
        <v>18</v>
      </c>
      <c r="M503" s="10">
        <v>240</v>
      </c>
      <c r="N503" s="10">
        <f t="shared" si="44"/>
        <v>120</v>
      </c>
      <c r="O503" s="2">
        <v>2006</v>
      </c>
    </row>
    <row r="504" spans="1:15" ht="18.75">
      <c r="A504" s="18" t="s">
        <v>788</v>
      </c>
      <c r="B504" s="9" t="s">
        <v>791</v>
      </c>
      <c r="C504" s="2" t="s">
        <v>2161</v>
      </c>
      <c r="D504" s="2">
        <v>4</v>
      </c>
      <c r="E504" s="2" t="s">
        <v>740</v>
      </c>
      <c r="F504" s="1">
        <f t="shared" si="43"/>
        <v>0.5</v>
      </c>
      <c r="G504" s="2" t="s">
        <v>21</v>
      </c>
      <c r="H504" s="2"/>
      <c r="I504" s="2"/>
      <c r="J504" s="2"/>
      <c r="K504" s="2">
        <v>36</v>
      </c>
      <c r="L504" s="2">
        <v>16</v>
      </c>
      <c r="M504" s="10">
        <v>200</v>
      </c>
      <c r="N504" s="10">
        <f t="shared" si="44"/>
        <v>100</v>
      </c>
      <c r="O504" s="2"/>
    </row>
    <row r="505" spans="1:15" ht="18.75">
      <c r="A505" s="18" t="s">
        <v>788</v>
      </c>
      <c r="B505" s="9" t="s">
        <v>292</v>
      </c>
      <c r="C505" s="2" t="s">
        <v>2161</v>
      </c>
      <c r="D505" s="2">
        <v>2</v>
      </c>
      <c r="E505" s="2" t="s">
        <v>741</v>
      </c>
      <c r="F505" s="1">
        <f t="shared" si="43"/>
        <v>0.75</v>
      </c>
      <c r="G505" s="2" t="s">
        <v>17</v>
      </c>
      <c r="H505" s="2" t="s">
        <v>290</v>
      </c>
      <c r="I505" s="2" t="s">
        <v>742</v>
      </c>
      <c r="J505" s="2"/>
      <c r="K505" s="2"/>
      <c r="L505" s="2"/>
      <c r="M505" s="10">
        <f>96</f>
        <v>96</v>
      </c>
      <c r="N505" s="10">
        <f t="shared" si="44"/>
        <v>72</v>
      </c>
      <c r="O505" s="2">
        <v>2016</v>
      </c>
    </row>
    <row r="506" spans="1:15" ht="18.75">
      <c r="A506" s="18" t="s">
        <v>788</v>
      </c>
      <c r="B506" s="9" t="s">
        <v>743</v>
      </c>
      <c r="C506" s="2" t="s">
        <v>2161</v>
      </c>
      <c r="D506" s="2">
        <v>1</v>
      </c>
      <c r="E506" s="2" t="s">
        <v>744</v>
      </c>
      <c r="F506" s="1">
        <f t="shared" si="43"/>
        <v>0.75</v>
      </c>
      <c r="G506" s="2" t="s">
        <v>16</v>
      </c>
      <c r="H506" s="2"/>
      <c r="I506" s="2"/>
      <c r="J506" s="2"/>
      <c r="K506" s="2">
        <v>55</v>
      </c>
      <c r="L506" s="2">
        <v>23</v>
      </c>
      <c r="M506" s="10">
        <v>129</v>
      </c>
      <c r="N506" s="10">
        <f t="shared" si="44"/>
        <v>96.75</v>
      </c>
      <c r="O506" s="2">
        <v>2015</v>
      </c>
    </row>
    <row r="507" spans="1:15" ht="18.75">
      <c r="A507" s="18" t="s">
        <v>788</v>
      </c>
      <c r="B507" s="9" t="s">
        <v>644</v>
      </c>
      <c r="C507" s="2" t="s">
        <v>2161</v>
      </c>
      <c r="D507" s="2">
        <v>1</v>
      </c>
      <c r="E507" s="2" t="s">
        <v>792</v>
      </c>
      <c r="F507" s="1">
        <f t="shared" si="43"/>
        <v>0.75</v>
      </c>
      <c r="G507" s="2" t="s">
        <v>17</v>
      </c>
      <c r="H507" s="2" t="s">
        <v>563</v>
      </c>
      <c r="I507" s="2" t="s">
        <v>793</v>
      </c>
      <c r="J507" s="2"/>
      <c r="K507" s="2">
        <v>19</v>
      </c>
      <c r="L507" s="2">
        <v>32</v>
      </c>
      <c r="M507" s="10">
        <v>158</v>
      </c>
      <c r="N507" s="10">
        <f t="shared" si="44"/>
        <v>118.5</v>
      </c>
      <c r="O507" s="2"/>
    </row>
    <row r="508" spans="1:15" ht="18.75">
      <c r="A508" s="18" t="s">
        <v>788</v>
      </c>
      <c r="B508" s="9" t="s">
        <v>296</v>
      </c>
      <c r="C508" s="2" t="s">
        <v>2161</v>
      </c>
      <c r="D508" s="2">
        <v>1</v>
      </c>
      <c r="E508" s="2" t="s">
        <v>794</v>
      </c>
      <c r="F508" s="1">
        <f t="shared" si="43"/>
        <v>0.5</v>
      </c>
      <c r="G508" s="2" t="s">
        <v>29</v>
      </c>
      <c r="H508" s="2" t="s">
        <v>795</v>
      </c>
      <c r="I508" s="2" t="s">
        <v>796</v>
      </c>
      <c r="J508" s="2"/>
      <c r="K508" s="2">
        <v>20</v>
      </c>
      <c r="L508" s="2">
        <v>16</v>
      </c>
      <c r="M508" s="10">
        <v>60</v>
      </c>
      <c r="N508" s="10">
        <f t="shared" si="44"/>
        <v>30</v>
      </c>
      <c r="O508" s="2">
        <v>2015</v>
      </c>
    </row>
    <row r="509" spans="1:15" ht="18.75">
      <c r="A509" s="18" t="s">
        <v>788</v>
      </c>
      <c r="B509" s="9" t="s">
        <v>748</v>
      </c>
      <c r="C509" s="2" t="s">
        <v>2161</v>
      </c>
      <c r="D509" s="2">
        <v>1</v>
      </c>
      <c r="E509" s="2" t="s">
        <v>2192</v>
      </c>
      <c r="F509" s="1">
        <f t="shared" si="43"/>
        <v>0.75</v>
      </c>
      <c r="G509" s="2" t="s">
        <v>17</v>
      </c>
      <c r="H509" s="2" t="s">
        <v>593</v>
      </c>
      <c r="I509" s="2" t="s">
        <v>797</v>
      </c>
      <c r="J509" s="2"/>
      <c r="K509" s="15"/>
      <c r="L509" s="2"/>
      <c r="M509" s="10">
        <v>30</v>
      </c>
      <c r="N509" s="10">
        <f t="shared" si="44"/>
        <v>22.5</v>
      </c>
      <c r="O509" s="2">
        <v>2017</v>
      </c>
    </row>
    <row r="510" spans="1:15" ht="18.75">
      <c r="A510" s="18" t="s">
        <v>788</v>
      </c>
      <c r="B510" s="9" t="s">
        <v>749</v>
      </c>
      <c r="C510" s="2" t="s">
        <v>2161</v>
      </c>
      <c r="D510" s="2">
        <v>3</v>
      </c>
      <c r="E510" s="2" t="s">
        <v>750</v>
      </c>
      <c r="F510" s="1">
        <f t="shared" si="43"/>
        <v>0.75</v>
      </c>
      <c r="G510" s="2" t="s">
        <v>17</v>
      </c>
      <c r="H510" s="2"/>
      <c r="I510" s="2"/>
      <c r="J510" s="2"/>
      <c r="K510" s="15"/>
      <c r="L510" s="2"/>
      <c r="M510" s="10">
        <v>43</v>
      </c>
      <c r="N510" s="10">
        <f t="shared" si="44"/>
        <v>32.25</v>
      </c>
      <c r="O510" s="2">
        <v>2014</v>
      </c>
    </row>
    <row r="511" spans="1:15" ht="18.75">
      <c r="A511" s="18" t="s">
        <v>788</v>
      </c>
      <c r="B511" s="9" t="s">
        <v>203</v>
      </c>
      <c r="C511" s="2" t="s">
        <v>2161</v>
      </c>
      <c r="D511" s="2">
        <v>1</v>
      </c>
      <c r="E511" s="2" t="s">
        <v>2329</v>
      </c>
      <c r="F511" s="1">
        <f t="shared" si="43"/>
        <v>0.25</v>
      </c>
      <c r="G511" s="2" t="s">
        <v>143</v>
      </c>
      <c r="H511" s="2"/>
      <c r="I511" s="2"/>
      <c r="J511" s="2"/>
      <c r="K511" s="2">
        <v>60</v>
      </c>
      <c r="L511" s="2">
        <v>33</v>
      </c>
      <c r="M511" s="10">
        <v>250</v>
      </c>
      <c r="N511" s="10">
        <f t="shared" si="44"/>
        <v>62.5</v>
      </c>
      <c r="O511" s="2">
        <v>2001</v>
      </c>
    </row>
    <row r="512" spans="1:15" ht="18.75">
      <c r="A512" s="18" t="s">
        <v>788</v>
      </c>
      <c r="B512" s="9" t="s">
        <v>751</v>
      </c>
      <c r="C512" s="2" t="s">
        <v>2161</v>
      </c>
      <c r="D512" s="2">
        <v>1</v>
      </c>
      <c r="E512" s="2" t="s">
        <v>2329</v>
      </c>
      <c r="F512" s="1">
        <f t="shared" si="43"/>
        <v>0.25</v>
      </c>
      <c r="G512" s="2" t="s">
        <v>143</v>
      </c>
      <c r="H512" s="2"/>
      <c r="I512" s="2"/>
      <c r="J512" s="2"/>
      <c r="K512" s="2">
        <v>80</v>
      </c>
      <c r="L512" s="2">
        <v>33</v>
      </c>
      <c r="M512" s="10">
        <v>299</v>
      </c>
      <c r="N512" s="10">
        <f t="shared" si="44"/>
        <v>74.75</v>
      </c>
      <c r="O512" s="2">
        <v>2001</v>
      </c>
    </row>
    <row r="513" spans="1:15" ht="18.75">
      <c r="A513" s="18" t="s">
        <v>788</v>
      </c>
      <c r="B513" s="9" t="s">
        <v>752</v>
      </c>
      <c r="C513" s="2" t="s">
        <v>2161</v>
      </c>
      <c r="D513" s="2">
        <v>1</v>
      </c>
      <c r="E513" s="2" t="s">
        <v>2329</v>
      </c>
      <c r="F513" s="1">
        <f t="shared" si="43"/>
        <v>0.25</v>
      </c>
      <c r="G513" s="2" t="s">
        <v>143</v>
      </c>
      <c r="H513" s="2"/>
      <c r="I513" s="2"/>
      <c r="J513" s="2"/>
      <c r="K513" s="2">
        <v>39</v>
      </c>
      <c r="L513" s="2">
        <v>33</v>
      </c>
      <c r="M513" s="10">
        <v>200</v>
      </c>
      <c r="N513" s="10">
        <f t="shared" si="44"/>
        <v>50</v>
      </c>
      <c r="O513" s="2">
        <v>2001</v>
      </c>
    </row>
    <row r="514" spans="1:15" ht="18.75">
      <c r="A514" s="18" t="s">
        <v>788</v>
      </c>
      <c r="B514" s="9" t="s">
        <v>753</v>
      </c>
      <c r="C514" s="2" t="s">
        <v>2161</v>
      </c>
      <c r="D514" s="2">
        <v>1</v>
      </c>
      <c r="E514" s="2" t="s">
        <v>798</v>
      </c>
      <c r="F514" s="1">
        <f t="shared" si="43"/>
        <v>0.25</v>
      </c>
      <c r="G514" s="2" t="s">
        <v>143</v>
      </c>
      <c r="H514" s="2"/>
      <c r="I514" s="2"/>
      <c r="J514" s="2"/>
      <c r="K514" s="15" t="s">
        <v>755</v>
      </c>
      <c r="L514" s="2"/>
      <c r="M514" s="10">
        <v>300</v>
      </c>
      <c r="N514" s="10">
        <f t="shared" si="44"/>
        <v>75</v>
      </c>
      <c r="O514" s="2">
        <v>2001</v>
      </c>
    </row>
    <row r="515" spans="1:15" ht="18.75">
      <c r="A515" s="18" t="s">
        <v>788</v>
      </c>
      <c r="B515" s="9" t="s">
        <v>2104</v>
      </c>
      <c r="C515" s="2" t="s">
        <v>2161</v>
      </c>
      <c r="D515" s="2">
        <v>4</v>
      </c>
      <c r="E515" s="2" t="s">
        <v>756</v>
      </c>
      <c r="F515" s="1">
        <f t="shared" si="43"/>
        <v>0.25</v>
      </c>
      <c r="G515" s="2" t="s">
        <v>143</v>
      </c>
      <c r="H515" s="2"/>
      <c r="I515" s="2"/>
      <c r="J515" s="2"/>
      <c r="K515" s="15"/>
      <c r="L515" s="2"/>
      <c r="M515" s="10">
        <v>600</v>
      </c>
      <c r="N515" s="10">
        <f t="shared" si="44"/>
        <v>150</v>
      </c>
      <c r="O515" s="2">
        <v>2001</v>
      </c>
    </row>
    <row r="516" spans="1:15" ht="111">
      <c r="A516" s="18" t="s">
        <v>788</v>
      </c>
      <c r="B516" s="9" t="s">
        <v>2107</v>
      </c>
      <c r="C516" s="2" t="s">
        <v>2161</v>
      </c>
      <c r="D516" s="2">
        <v>7</v>
      </c>
      <c r="E516" s="2" t="s">
        <v>799</v>
      </c>
      <c r="F516" s="1">
        <f t="shared" si="43"/>
        <v>0.25</v>
      </c>
      <c r="G516" s="2" t="s">
        <v>143</v>
      </c>
      <c r="H516" s="2"/>
      <c r="I516" s="2"/>
      <c r="J516" s="2"/>
      <c r="K516" s="2" t="s">
        <v>2173</v>
      </c>
      <c r="L516" s="2"/>
      <c r="M516" s="10">
        <f>(69.5+164*2+37*4)</f>
        <v>545.5</v>
      </c>
      <c r="N516" s="10">
        <f t="shared" si="44"/>
        <v>136.375</v>
      </c>
      <c r="O516" s="2"/>
    </row>
    <row r="517" spans="1:15" ht="18.75">
      <c r="A517" s="18" t="s">
        <v>788</v>
      </c>
      <c r="B517" s="9" t="s">
        <v>759</v>
      </c>
      <c r="C517" s="2" t="s">
        <v>2161</v>
      </c>
      <c r="D517" s="2">
        <v>1</v>
      </c>
      <c r="E517" s="2" t="s">
        <v>760</v>
      </c>
      <c r="F517" s="1">
        <f t="shared" si="43"/>
        <v>0.25</v>
      </c>
      <c r="G517" s="2" t="s">
        <v>143</v>
      </c>
      <c r="H517" s="2"/>
      <c r="I517" s="2"/>
      <c r="J517" s="2"/>
      <c r="K517" s="2">
        <v>30</v>
      </c>
      <c r="L517" s="2">
        <v>30</v>
      </c>
      <c r="M517" s="10">
        <v>50</v>
      </c>
      <c r="N517" s="121">
        <f t="shared" si="44"/>
        <v>12.5</v>
      </c>
      <c r="O517" s="2">
        <v>2001</v>
      </c>
    </row>
    <row r="518" spans="1:15" ht="18.75">
      <c r="A518" s="18" t="s">
        <v>788</v>
      </c>
      <c r="B518" s="9" t="s">
        <v>761</v>
      </c>
      <c r="C518" s="2" t="s">
        <v>2161</v>
      </c>
      <c r="D518" s="11">
        <v>1</v>
      </c>
      <c r="E518" s="2" t="s">
        <v>762</v>
      </c>
      <c r="F518" s="1">
        <f t="shared" si="43"/>
        <v>0.75</v>
      </c>
      <c r="G518" s="2" t="s">
        <v>17</v>
      </c>
      <c r="H518" s="2"/>
      <c r="I518" s="2"/>
      <c r="J518" s="2"/>
      <c r="K518" s="2">
        <v>28</v>
      </c>
      <c r="L518" s="2">
        <v>22</v>
      </c>
      <c r="M518" s="10">
        <v>100</v>
      </c>
      <c r="N518" s="10">
        <f t="shared" si="44"/>
        <v>75</v>
      </c>
      <c r="O518" s="2">
        <v>2001</v>
      </c>
    </row>
    <row r="519" spans="1:15" ht="18.75">
      <c r="A519" s="18" t="s">
        <v>788</v>
      </c>
      <c r="B519" s="9" t="s">
        <v>763</v>
      </c>
      <c r="C519" s="2" t="s">
        <v>2161</v>
      </c>
      <c r="D519" s="2">
        <v>1</v>
      </c>
      <c r="E519" s="2"/>
      <c r="F519" s="1">
        <f t="shared" si="43"/>
        <v>0.75</v>
      </c>
      <c r="G519" s="2" t="s">
        <v>16</v>
      </c>
      <c r="H519" s="2" t="s">
        <v>658</v>
      </c>
      <c r="I519" s="2" t="s">
        <v>800</v>
      </c>
      <c r="J519" s="2"/>
      <c r="K519" s="2">
        <v>10</v>
      </c>
      <c r="L519" s="2">
        <v>7</v>
      </c>
      <c r="M519" s="10">
        <v>90</v>
      </c>
      <c r="N519" s="10">
        <f t="shared" si="44"/>
        <v>67.5</v>
      </c>
      <c r="O519" s="2">
        <v>2014</v>
      </c>
    </row>
    <row r="520" spans="1:15" ht="18.75">
      <c r="A520" s="18" t="s">
        <v>788</v>
      </c>
      <c r="B520" s="9" t="s">
        <v>801</v>
      </c>
      <c r="C520" s="2" t="s">
        <v>2161</v>
      </c>
      <c r="D520" s="2">
        <v>1</v>
      </c>
      <c r="E520" s="2" t="s">
        <v>766</v>
      </c>
      <c r="F520" s="1">
        <f t="shared" si="43"/>
        <v>0.75</v>
      </c>
      <c r="G520" s="2" t="s">
        <v>17</v>
      </c>
      <c r="H520" s="2" t="s">
        <v>680</v>
      </c>
      <c r="I520" s="2" t="s">
        <v>767</v>
      </c>
      <c r="J520" s="2"/>
      <c r="K520" s="2" t="s">
        <v>768</v>
      </c>
      <c r="L520" s="2"/>
      <c r="M520" s="10">
        <v>152</v>
      </c>
      <c r="N520" s="10">
        <f t="shared" si="44"/>
        <v>114</v>
      </c>
      <c r="O520" s="2">
        <v>2011</v>
      </c>
    </row>
    <row r="521" spans="1:15" ht="18.75">
      <c r="A521" s="18" t="s">
        <v>788</v>
      </c>
      <c r="B521" s="9" t="s">
        <v>769</v>
      </c>
      <c r="C521" s="2" t="s">
        <v>2161</v>
      </c>
      <c r="D521" s="2">
        <v>8</v>
      </c>
      <c r="E521" s="2" t="s">
        <v>770</v>
      </c>
      <c r="F521" s="1">
        <f t="shared" si="43"/>
        <v>0.5</v>
      </c>
      <c r="G521" s="2" t="s">
        <v>21</v>
      </c>
      <c r="H521" s="2"/>
      <c r="I521" s="2"/>
      <c r="J521" s="2"/>
      <c r="K521" s="2"/>
      <c r="L521" s="2"/>
      <c r="M521" s="10">
        <f>20*8</f>
        <v>160</v>
      </c>
      <c r="N521" s="10">
        <f t="shared" si="44"/>
        <v>80</v>
      </c>
      <c r="O521" s="2">
        <v>2018</v>
      </c>
    </row>
    <row r="522" spans="1:15" ht="18.75">
      <c r="A522" s="18" t="s">
        <v>788</v>
      </c>
      <c r="B522" s="9" t="s">
        <v>226</v>
      </c>
      <c r="C522" s="2" t="s">
        <v>2161</v>
      </c>
      <c r="D522" s="2">
        <v>2</v>
      </c>
      <c r="E522" s="2" t="s">
        <v>771</v>
      </c>
      <c r="F522" s="1">
        <f t="shared" si="43"/>
        <v>0.75</v>
      </c>
      <c r="G522" s="2" t="s">
        <v>17</v>
      </c>
      <c r="H522" s="2"/>
      <c r="I522" s="2"/>
      <c r="J522" s="2"/>
      <c r="K522" s="2"/>
      <c r="L522" s="2"/>
      <c r="M522" s="10">
        <f>100*2</f>
        <v>200</v>
      </c>
      <c r="N522" s="10">
        <f t="shared" si="44"/>
        <v>150</v>
      </c>
      <c r="O522" s="2">
        <v>2018</v>
      </c>
    </row>
    <row r="523" spans="1:15" ht="18.75">
      <c r="A523" s="18" t="s">
        <v>788</v>
      </c>
      <c r="B523" s="9" t="s">
        <v>772</v>
      </c>
      <c r="C523" s="2" t="s">
        <v>2161</v>
      </c>
      <c r="D523" s="2">
        <v>3</v>
      </c>
      <c r="E523" s="2" t="s">
        <v>802</v>
      </c>
      <c r="F523" s="1">
        <f t="shared" si="43"/>
        <v>0.75</v>
      </c>
      <c r="G523" s="2" t="s">
        <v>17</v>
      </c>
      <c r="H523" s="2"/>
      <c r="I523" s="2"/>
      <c r="J523" s="2"/>
      <c r="K523" s="2"/>
      <c r="L523" s="2"/>
      <c r="M523" s="10">
        <f>50*3</f>
        <v>150</v>
      </c>
      <c r="N523" s="10">
        <f t="shared" si="44"/>
        <v>112.5</v>
      </c>
      <c r="O523" s="2"/>
    </row>
    <row r="524" spans="1:15" ht="18.75">
      <c r="A524" s="18" t="s">
        <v>788</v>
      </c>
      <c r="B524" s="9" t="s">
        <v>774</v>
      </c>
      <c r="C524" s="2" t="s">
        <v>2161</v>
      </c>
      <c r="D524" s="2">
        <v>2</v>
      </c>
      <c r="E524" s="2" t="s">
        <v>775</v>
      </c>
      <c r="F524" s="1">
        <f t="shared" si="43"/>
        <v>0.75</v>
      </c>
      <c r="G524" s="2" t="s">
        <v>17</v>
      </c>
      <c r="H524" s="2"/>
      <c r="I524" s="2"/>
      <c r="J524" s="2"/>
      <c r="K524" s="2"/>
      <c r="L524" s="2"/>
      <c r="M524" s="10">
        <f>100*2</f>
        <v>200</v>
      </c>
      <c r="N524" s="10">
        <f t="shared" si="44"/>
        <v>150</v>
      </c>
      <c r="O524" s="2">
        <v>2018</v>
      </c>
    </row>
    <row r="525" spans="1:15" ht="18.75">
      <c r="A525" s="18" t="s">
        <v>788</v>
      </c>
      <c r="B525" s="9" t="s">
        <v>803</v>
      </c>
      <c r="C525" s="2" t="s">
        <v>2161</v>
      </c>
      <c r="D525" s="2">
        <v>6</v>
      </c>
      <c r="E525" s="2" t="s">
        <v>776</v>
      </c>
      <c r="F525" s="1">
        <f t="shared" si="43"/>
        <v>0.5</v>
      </c>
      <c r="G525" s="2" t="s">
        <v>21</v>
      </c>
      <c r="H525" s="2"/>
      <c r="I525" s="2"/>
      <c r="J525" s="2"/>
      <c r="K525" s="2">
        <v>25</v>
      </c>
      <c r="L525" s="2">
        <v>9</v>
      </c>
      <c r="M525" s="10">
        <f>16*6</f>
        <v>96</v>
      </c>
      <c r="N525" s="10">
        <f t="shared" si="44"/>
        <v>48</v>
      </c>
      <c r="O525" s="2"/>
    </row>
    <row r="526" spans="1:15" ht="18.75">
      <c r="A526" s="18" t="s">
        <v>788</v>
      </c>
      <c r="B526" s="9" t="s">
        <v>134</v>
      </c>
      <c r="C526" s="2" t="s">
        <v>2057</v>
      </c>
      <c r="D526" s="11">
        <v>1</v>
      </c>
      <c r="E526" s="2" t="s">
        <v>75</v>
      </c>
      <c r="F526" s="1">
        <f t="shared" si="43"/>
        <v>0.75</v>
      </c>
      <c r="G526" s="2" t="s">
        <v>17</v>
      </c>
      <c r="H526" s="2"/>
      <c r="I526" s="2"/>
      <c r="J526" s="2"/>
      <c r="K526" s="2"/>
      <c r="L526" s="2"/>
      <c r="M526" s="10">
        <v>70</v>
      </c>
      <c r="N526" s="10">
        <f t="shared" si="44"/>
        <v>52.5</v>
      </c>
      <c r="O526" s="2"/>
    </row>
    <row r="527" spans="1:15" ht="18.75">
      <c r="A527" s="18" t="s">
        <v>788</v>
      </c>
      <c r="B527" s="9" t="s">
        <v>567</v>
      </c>
      <c r="C527" s="2" t="s">
        <v>2161</v>
      </c>
      <c r="D527" s="2">
        <v>10</v>
      </c>
      <c r="E527" s="2">
        <v>10</v>
      </c>
      <c r="F527" s="1">
        <f t="shared" si="43"/>
        <v>0.75</v>
      </c>
      <c r="G527" s="2" t="s">
        <v>17</v>
      </c>
      <c r="H527" s="2"/>
      <c r="I527" s="2"/>
      <c r="J527" s="2"/>
      <c r="K527" s="2"/>
      <c r="L527" s="2"/>
      <c r="M527" s="10"/>
      <c r="N527" s="10">
        <f t="shared" si="44"/>
        <v>0</v>
      </c>
      <c r="O527" s="2"/>
    </row>
    <row r="528" spans="1:15" ht="18.75">
      <c r="A528" s="18" t="s">
        <v>788</v>
      </c>
      <c r="B528" s="9" t="s">
        <v>777</v>
      </c>
      <c r="C528" s="2" t="s">
        <v>2161</v>
      </c>
      <c r="D528" s="2">
        <v>2</v>
      </c>
      <c r="E528" s="2" t="s">
        <v>2330</v>
      </c>
      <c r="F528" s="1">
        <f t="shared" si="43"/>
        <v>0.5</v>
      </c>
      <c r="G528" s="2" t="s">
        <v>21</v>
      </c>
      <c r="H528" s="2"/>
      <c r="I528" s="2"/>
      <c r="J528" s="2"/>
      <c r="K528" s="2"/>
      <c r="L528" s="2"/>
      <c r="M528" s="10">
        <v>10</v>
      </c>
      <c r="N528" s="10">
        <f t="shared" si="44"/>
        <v>5</v>
      </c>
      <c r="O528" s="2"/>
    </row>
    <row r="529" spans="1:15" ht="18.75">
      <c r="A529" s="18" t="s">
        <v>788</v>
      </c>
      <c r="B529" s="9" t="s">
        <v>233</v>
      </c>
      <c r="C529" s="2" t="s">
        <v>2161</v>
      </c>
      <c r="D529" s="2">
        <v>9</v>
      </c>
      <c r="E529" s="2" t="s">
        <v>778</v>
      </c>
      <c r="F529" s="1">
        <f t="shared" si="43"/>
        <v>0.5</v>
      </c>
      <c r="G529" s="2" t="s">
        <v>21</v>
      </c>
      <c r="H529" s="2"/>
      <c r="I529" s="2"/>
      <c r="J529" s="2"/>
      <c r="K529" s="2"/>
      <c r="L529" s="2"/>
      <c r="M529" s="10">
        <f>9*18+49</f>
        <v>211</v>
      </c>
      <c r="N529" s="121">
        <f t="shared" si="44"/>
        <v>105.5</v>
      </c>
      <c r="O529" s="2"/>
    </row>
    <row r="530" spans="1:15" ht="18.75">
      <c r="A530" s="18" t="s">
        <v>788</v>
      </c>
      <c r="B530" s="9" t="s">
        <v>779</v>
      </c>
      <c r="C530" s="2" t="s">
        <v>2161</v>
      </c>
      <c r="D530" s="2">
        <v>2</v>
      </c>
      <c r="E530" s="2" t="s">
        <v>2331</v>
      </c>
      <c r="F530" s="1">
        <f t="shared" si="43"/>
        <v>0.5</v>
      </c>
      <c r="G530" s="2" t="s">
        <v>21</v>
      </c>
      <c r="H530" s="2"/>
      <c r="I530" s="2"/>
      <c r="J530" s="2"/>
      <c r="K530" s="2"/>
      <c r="L530" s="2"/>
      <c r="M530" s="10">
        <f>30*2</f>
        <v>60</v>
      </c>
      <c r="N530" s="121">
        <f t="shared" si="44"/>
        <v>30</v>
      </c>
      <c r="O530" s="2"/>
    </row>
    <row r="531" spans="1:15" ht="18.75">
      <c r="A531" s="18" t="s">
        <v>788</v>
      </c>
      <c r="B531" s="9" t="s">
        <v>780</v>
      </c>
      <c r="C531" s="2" t="s">
        <v>2161</v>
      </c>
      <c r="D531" s="2">
        <v>4</v>
      </c>
      <c r="E531" s="2" t="s">
        <v>781</v>
      </c>
      <c r="F531" s="1">
        <f t="shared" si="43"/>
        <v>0.75</v>
      </c>
      <c r="G531" s="2" t="s">
        <v>17</v>
      </c>
      <c r="H531" s="2" t="s">
        <v>304</v>
      </c>
      <c r="I531" s="2"/>
      <c r="J531" s="2"/>
      <c r="K531" s="2"/>
      <c r="L531" s="2"/>
      <c r="M531" s="10">
        <v>40</v>
      </c>
      <c r="N531" s="10">
        <f t="shared" si="44"/>
        <v>30</v>
      </c>
      <c r="O531" s="2"/>
    </row>
    <row r="532" spans="1:15" ht="18.75">
      <c r="A532" s="18" t="s">
        <v>788</v>
      </c>
      <c r="B532" s="9" t="s">
        <v>782</v>
      </c>
      <c r="C532" s="2" t="s">
        <v>2161</v>
      </c>
      <c r="D532" s="2">
        <v>4</v>
      </c>
      <c r="E532" s="2" t="s">
        <v>2334</v>
      </c>
      <c r="F532" s="1">
        <f t="shared" si="43"/>
        <v>0.5</v>
      </c>
      <c r="G532" s="2" t="s">
        <v>21</v>
      </c>
      <c r="H532" s="2"/>
      <c r="I532" s="2"/>
      <c r="J532" s="2"/>
      <c r="K532" s="2"/>
      <c r="L532" s="2"/>
      <c r="M532" s="10">
        <f>8*4</f>
        <v>32</v>
      </c>
      <c r="N532" s="121">
        <f t="shared" si="44"/>
        <v>16</v>
      </c>
      <c r="O532" s="2"/>
    </row>
    <row r="533" spans="1:15" ht="18.75">
      <c r="A533" s="18" t="s">
        <v>788</v>
      </c>
      <c r="B533" s="9" t="s">
        <v>591</v>
      </c>
      <c r="C533" s="2" t="s">
        <v>2161</v>
      </c>
      <c r="D533" s="2">
        <v>16</v>
      </c>
      <c r="E533" s="2" t="s">
        <v>804</v>
      </c>
      <c r="F533" s="1">
        <f t="shared" si="43"/>
        <v>0.5</v>
      </c>
      <c r="G533" s="2" t="s">
        <v>21</v>
      </c>
      <c r="H533" s="2"/>
      <c r="I533" s="2"/>
      <c r="J533" s="2"/>
      <c r="K533" s="2"/>
      <c r="L533" s="2"/>
      <c r="M533" s="10">
        <f>8*14</f>
        <v>112</v>
      </c>
      <c r="N533" s="10">
        <f t="shared" si="44"/>
        <v>56</v>
      </c>
      <c r="O533" s="2"/>
    </row>
    <row r="534" spans="1:15" ht="18.75">
      <c r="A534" s="18" t="s">
        <v>788</v>
      </c>
      <c r="B534" s="9" t="s">
        <v>784</v>
      </c>
      <c r="C534" s="2" t="s">
        <v>2161</v>
      </c>
      <c r="D534" s="2">
        <v>3</v>
      </c>
      <c r="E534" s="2"/>
      <c r="F534" s="1">
        <f t="shared" si="43"/>
        <v>0.5</v>
      </c>
      <c r="G534" s="2" t="s">
        <v>21</v>
      </c>
      <c r="H534" s="2" t="s">
        <v>605</v>
      </c>
      <c r="I534" s="2"/>
      <c r="J534" s="2"/>
      <c r="K534" s="2"/>
      <c r="L534" s="2"/>
      <c r="M534" s="10">
        <v>15</v>
      </c>
      <c r="N534" s="10">
        <f t="shared" si="44"/>
        <v>7.5</v>
      </c>
      <c r="O534" s="2">
        <v>2015</v>
      </c>
    </row>
    <row r="535" spans="1:15" ht="18.75">
      <c r="A535" s="18" t="s">
        <v>788</v>
      </c>
      <c r="B535" s="9" t="s">
        <v>785</v>
      </c>
      <c r="C535" s="2" t="s">
        <v>2161</v>
      </c>
      <c r="D535" s="2">
        <v>1</v>
      </c>
      <c r="E535" s="2"/>
      <c r="F535" s="1">
        <f t="shared" si="43"/>
        <v>0.5</v>
      </c>
      <c r="G535" s="2" t="s">
        <v>21</v>
      </c>
      <c r="H535" s="2" t="s">
        <v>290</v>
      </c>
      <c r="I535" s="2"/>
      <c r="J535" s="2"/>
      <c r="K535" s="2"/>
      <c r="L535" s="2"/>
      <c r="M535" s="10">
        <v>30</v>
      </c>
      <c r="N535" s="10">
        <f t="shared" si="44"/>
        <v>15</v>
      </c>
      <c r="O535" s="2">
        <v>2016</v>
      </c>
    </row>
    <row r="536" spans="1:15" ht="18.75">
      <c r="A536" s="18" t="s">
        <v>788</v>
      </c>
      <c r="B536" s="9" t="s">
        <v>805</v>
      </c>
      <c r="C536" s="2" t="s">
        <v>2161</v>
      </c>
      <c r="D536" s="2">
        <v>1</v>
      </c>
      <c r="E536" s="2"/>
      <c r="F536" s="1">
        <f t="shared" si="43"/>
        <v>0.5</v>
      </c>
      <c r="G536" s="2" t="s">
        <v>21</v>
      </c>
      <c r="H536" s="15" t="s">
        <v>806</v>
      </c>
      <c r="I536" s="15"/>
      <c r="J536" s="15"/>
      <c r="K536" s="15"/>
      <c r="L536" s="15"/>
      <c r="M536" s="44">
        <v>12.95</v>
      </c>
      <c r="N536" s="121">
        <f t="shared" si="44"/>
        <v>6.4749999999999996</v>
      </c>
      <c r="O536" s="15">
        <v>2016</v>
      </c>
    </row>
    <row r="537" spans="1:15" s="23" customFormat="1" ht="18.75">
      <c r="A537" s="20" t="s">
        <v>814</v>
      </c>
      <c r="B537" s="9" t="s">
        <v>2026</v>
      </c>
      <c r="C537" s="21" t="s">
        <v>2161</v>
      </c>
      <c r="D537" s="21">
        <v>1</v>
      </c>
      <c r="E537" s="21" t="s">
        <v>720</v>
      </c>
      <c r="F537" s="1">
        <f t="shared" si="43"/>
        <v>0.75</v>
      </c>
      <c r="G537" s="21" t="s">
        <v>17</v>
      </c>
      <c r="H537" s="21"/>
      <c r="I537" s="21"/>
      <c r="J537" s="21"/>
      <c r="K537" s="21"/>
      <c r="L537" s="21"/>
      <c r="M537" s="22">
        <v>19.989999999999998</v>
      </c>
      <c r="N537" s="121">
        <f t="shared" si="44"/>
        <v>14.9925</v>
      </c>
      <c r="O537" s="21"/>
    </row>
    <row r="539" spans="1:15" ht="18.75">
      <c r="A539" s="18" t="s">
        <v>818</v>
      </c>
      <c r="B539" s="9" t="s">
        <v>722</v>
      </c>
      <c r="C539" s="2" t="s">
        <v>2161</v>
      </c>
      <c r="D539" s="2">
        <v>2</v>
      </c>
      <c r="E539" s="2" t="s">
        <v>723</v>
      </c>
      <c r="F539" s="1">
        <f t="shared" ref="F539:F581" si="45">IF(G539="fair",0.5,0)+IF(G539="good",0.75,0)+IF(G539="poor",0.25,0)+IF(G539="like new",0.9,0)+IF(G539="new",1,0)</f>
        <v>0.75</v>
      </c>
      <c r="G539" s="2" t="s">
        <v>16</v>
      </c>
      <c r="H539" s="2"/>
      <c r="I539" s="2"/>
      <c r="J539" s="2"/>
      <c r="K539" s="2">
        <v>84</v>
      </c>
      <c r="L539" s="2">
        <v>60</v>
      </c>
      <c r="M539" s="10">
        <f>500*2</f>
        <v>1000</v>
      </c>
      <c r="N539" s="10">
        <f t="shared" ref="N539:N581" si="46">F539*M539</f>
        <v>750</v>
      </c>
      <c r="O539" s="2">
        <v>2018</v>
      </c>
    </row>
    <row r="540" spans="1:15" ht="18.75">
      <c r="A540" s="18" t="s">
        <v>818</v>
      </c>
      <c r="B540" s="9" t="s">
        <v>724</v>
      </c>
      <c r="C540" s="2" t="s">
        <v>2161</v>
      </c>
      <c r="D540" s="2">
        <v>2</v>
      </c>
      <c r="E540" s="2" t="s">
        <v>718</v>
      </c>
      <c r="F540" s="1">
        <f t="shared" si="45"/>
        <v>0.75</v>
      </c>
      <c r="G540" s="2" t="s">
        <v>16</v>
      </c>
      <c r="H540" s="2"/>
      <c r="I540" s="2"/>
      <c r="J540" s="2"/>
      <c r="K540" s="2">
        <v>84</v>
      </c>
      <c r="L540" s="2">
        <v>60</v>
      </c>
      <c r="M540" s="10">
        <f>200*2</f>
        <v>400</v>
      </c>
      <c r="N540" s="10">
        <f t="shared" si="46"/>
        <v>300</v>
      </c>
      <c r="O540" s="2">
        <v>2018</v>
      </c>
    </row>
    <row r="541" spans="1:15" ht="18.75">
      <c r="A541" s="18" t="s">
        <v>818</v>
      </c>
      <c r="B541" s="9" t="s">
        <v>578</v>
      </c>
      <c r="C541" s="2" t="s">
        <v>2161</v>
      </c>
      <c r="D541" s="2">
        <v>8</v>
      </c>
      <c r="E541" s="2" t="s">
        <v>723</v>
      </c>
      <c r="F541" s="1">
        <f t="shared" si="45"/>
        <v>0.75</v>
      </c>
      <c r="G541" s="2" t="s">
        <v>16</v>
      </c>
      <c r="H541" s="2"/>
      <c r="I541" s="2"/>
      <c r="J541" s="2"/>
      <c r="K541" s="2">
        <v>82</v>
      </c>
      <c r="L541" s="2">
        <v>42</v>
      </c>
      <c r="M541" s="10">
        <f>300*8</f>
        <v>2400</v>
      </c>
      <c r="N541" s="10">
        <f t="shared" si="46"/>
        <v>1800</v>
      </c>
      <c r="O541" s="2">
        <v>2018</v>
      </c>
    </row>
    <row r="542" spans="1:15" ht="18.75">
      <c r="A542" s="18" t="s">
        <v>818</v>
      </c>
      <c r="B542" s="9" t="s">
        <v>581</v>
      </c>
      <c r="C542" s="2" t="s">
        <v>2161</v>
      </c>
      <c r="D542" s="2">
        <v>8</v>
      </c>
      <c r="E542" s="2" t="s">
        <v>718</v>
      </c>
      <c r="F542" s="1">
        <f t="shared" si="45"/>
        <v>0.75</v>
      </c>
      <c r="G542" s="2" t="s">
        <v>16</v>
      </c>
      <c r="H542" s="11"/>
      <c r="I542" s="2"/>
      <c r="J542" s="2"/>
      <c r="K542" s="2">
        <v>82</v>
      </c>
      <c r="L542" s="2">
        <v>42</v>
      </c>
      <c r="M542" s="10">
        <f>75*8</f>
        <v>600</v>
      </c>
      <c r="N542" s="10">
        <f t="shared" si="46"/>
        <v>450</v>
      </c>
      <c r="O542" s="2">
        <v>2018</v>
      </c>
    </row>
    <row r="543" spans="1:15" ht="18.75">
      <c r="A543" s="18" t="s">
        <v>818</v>
      </c>
      <c r="B543" s="9" t="s">
        <v>725</v>
      </c>
      <c r="C543" s="2" t="s">
        <v>2161</v>
      </c>
      <c r="D543" s="2">
        <v>4</v>
      </c>
      <c r="E543" s="2" t="s">
        <v>726</v>
      </c>
      <c r="F543" s="1">
        <f t="shared" si="45"/>
        <v>0.75</v>
      </c>
      <c r="G543" s="2" t="s">
        <v>16</v>
      </c>
      <c r="H543" s="2" t="s">
        <v>727</v>
      </c>
      <c r="I543" s="2"/>
      <c r="J543" s="2"/>
      <c r="K543" s="2">
        <v>22</v>
      </c>
      <c r="L543" s="2">
        <v>16</v>
      </c>
      <c r="M543" s="10">
        <f>50*4</f>
        <v>200</v>
      </c>
      <c r="N543" s="10">
        <f t="shared" si="46"/>
        <v>150</v>
      </c>
      <c r="O543" s="2">
        <v>2018</v>
      </c>
    </row>
    <row r="544" spans="1:15" ht="18.75">
      <c r="A544" s="18" t="s">
        <v>818</v>
      </c>
      <c r="B544" s="9" t="s">
        <v>728</v>
      </c>
      <c r="C544" s="2" t="s">
        <v>2161</v>
      </c>
      <c r="D544" s="2">
        <v>4</v>
      </c>
      <c r="E544" s="2" t="s">
        <v>729</v>
      </c>
      <c r="F544" s="1">
        <f t="shared" si="45"/>
        <v>0.75</v>
      </c>
      <c r="G544" s="2" t="s">
        <v>16</v>
      </c>
      <c r="H544" s="2" t="s">
        <v>730</v>
      </c>
      <c r="I544" s="2"/>
      <c r="J544" s="2"/>
      <c r="K544" s="2">
        <v>24</v>
      </c>
      <c r="L544" s="2"/>
      <c r="M544" s="10">
        <v>236</v>
      </c>
      <c r="N544" s="10">
        <f t="shared" si="46"/>
        <v>177</v>
      </c>
      <c r="O544" s="2">
        <v>2018</v>
      </c>
    </row>
    <row r="545" spans="1:15" ht="18.75">
      <c r="A545" s="18" t="s">
        <v>818</v>
      </c>
      <c r="B545" s="9" t="s">
        <v>731</v>
      </c>
      <c r="C545" s="2" t="s">
        <v>2161</v>
      </c>
      <c r="D545" s="2">
        <v>1</v>
      </c>
      <c r="E545" s="2" t="s">
        <v>819</v>
      </c>
      <c r="F545" s="1">
        <f t="shared" si="45"/>
        <v>0.75</v>
      </c>
      <c r="G545" s="2" t="s">
        <v>17</v>
      </c>
      <c r="H545" s="2"/>
      <c r="I545" s="2"/>
      <c r="J545" s="2"/>
      <c r="K545" s="2">
        <v>24</v>
      </c>
      <c r="L545" s="2"/>
      <c r="M545" s="10">
        <v>35</v>
      </c>
      <c r="N545" s="10">
        <f t="shared" si="46"/>
        <v>26.25</v>
      </c>
      <c r="O545" s="2">
        <v>2015</v>
      </c>
    </row>
    <row r="546" spans="1:15" ht="18.75" customHeight="1">
      <c r="A546" s="18" t="s">
        <v>818</v>
      </c>
      <c r="B546" s="9" t="s">
        <v>733</v>
      </c>
      <c r="C546" s="2" t="s">
        <v>2161</v>
      </c>
      <c r="D546" s="2">
        <v>10</v>
      </c>
      <c r="E546" s="2" t="s">
        <v>820</v>
      </c>
      <c r="F546" s="1">
        <f t="shared" si="45"/>
        <v>0.75</v>
      </c>
      <c r="G546" s="2" t="s">
        <v>17</v>
      </c>
      <c r="H546" s="2"/>
      <c r="I546" s="2"/>
      <c r="J546" s="2"/>
      <c r="K546" s="2" t="s">
        <v>735</v>
      </c>
      <c r="L546" s="2">
        <v>28</v>
      </c>
      <c r="M546" s="10">
        <f>20*6</f>
        <v>120</v>
      </c>
      <c r="N546" s="10">
        <f t="shared" si="46"/>
        <v>90</v>
      </c>
      <c r="O546" s="2">
        <v>2018</v>
      </c>
    </row>
    <row r="547" spans="1:15" ht="18.75">
      <c r="A547" s="18" t="s">
        <v>818</v>
      </c>
      <c r="B547" s="9" t="s">
        <v>736</v>
      </c>
      <c r="C547" s="2" t="s">
        <v>2161</v>
      </c>
      <c r="D547" s="2">
        <v>4</v>
      </c>
      <c r="E547" s="2" t="s">
        <v>737</v>
      </c>
      <c r="F547" s="1">
        <f t="shared" si="45"/>
        <v>0.75</v>
      </c>
      <c r="G547" s="2" t="s">
        <v>17</v>
      </c>
      <c r="H547" s="2"/>
      <c r="I547" s="2"/>
      <c r="J547" s="2"/>
      <c r="K547" s="2">
        <v>78</v>
      </c>
      <c r="L547" s="2">
        <v>30</v>
      </c>
      <c r="M547" s="10">
        <f>100*6</f>
        <v>600</v>
      </c>
      <c r="N547" s="10">
        <f t="shared" si="46"/>
        <v>450</v>
      </c>
      <c r="O547" s="2"/>
    </row>
    <row r="548" spans="1:15" ht="18.75">
      <c r="A548" s="18" t="s">
        <v>818</v>
      </c>
      <c r="B548" s="9" t="s">
        <v>738</v>
      </c>
      <c r="C548" s="2" t="s">
        <v>2161</v>
      </c>
      <c r="D548" s="2">
        <v>4</v>
      </c>
      <c r="E548" s="2" t="s">
        <v>739</v>
      </c>
      <c r="F548" s="1">
        <f t="shared" si="45"/>
        <v>0.5</v>
      </c>
      <c r="G548" s="2" t="s">
        <v>21</v>
      </c>
      <c r="H548" s="2"/>
      <c r="I548" s="2"/>
      <c r="J548" s="2"/>
      <c r="K548" s="2">
        <v>40</v>
      </c>
      <c r="L548" s="2">
        <v>18</v>
      </c>
      <c r="M548" s="10">
        <v>240</v>
      </c>
      <c r="N548" s="10">
        <f t="shared" si="46"/>
        <v>120</v>
      </c>
      <c r="O548" s="2">
        <v>2006</v>
      </c>
    </row>
    <row r="549" spans="1:15" ht="18.75">
      <c r="A549" s="18" t="s">
        <v>818</v>
      </c>
      <c r="B549" s="9" t="s">
        <v>791</v>
      </c>
      <c r="C549" s="2" t="s">
        <v>2161</v>
      </c>
      <c r="D549" s="2">
        <v>4</v>
      </c>
      <c r="E549" s="2" t="s">
        <v>740</v>
      </c>
      <c r="F549" s="1">
        <f t="shared" si="45"/>
        <v>0.5</v>
      </c>
      <c r="G549" s="2" t="s">
        <v>21</v>
      </c>
      <c r="H549" s="2"/>
      <c r="I549" s="2"/>
      <c r="J549" s="2"/>
      <c r="K549" s="2">
        <v>36</v>
      </c>
      <c r="L549" s="2">
        <v>16</v>
      </c>
      <c r="M549" s="10">
        <v>200</v>
      </c>
      <c r="N549" s="10">
        <f t="shared" si="46"/>
        <v>100</v>
      </c>
      <c r="O549" s="2"/>
    </row>
    <row r="550" spans="1:15" ht="18.75">
      <c r="A550" s="18" t="s">
        <v>818</v>
      </c>
      <c r="B550" s="9" t="s">
        <v>292</v>
      </c>
      <c r="C550" s="2" t="s">
        <v>2161</v>
      </c>
      <c r="D550" s="2">
        <v>2</v>
      </c>
      <c r="E550" s="2" t="s">
        <v>821</v>
      </c>
      <c r="F550" s="1">
        <f t="shared" si="45"/>
        <v>0.75</v>
      </c>
      <c r="G550" s="2" t="s">
        <v>17</v>
      </c>
      <c r="H550" s="2" t="s">
        <v>290</v>
      </c>
      <c r="I550" s="2" t="s">
        <v>742</v>
      </c>
      <c r="J550" s="2"/>
      <c r="K550" s="2"/>
      <c r="L550" s="2"/>
      <c r="M550" s="10">
        <f>96</f>
        <v>96</v>
      </c>
      <c r="N550" s="10">
        <f t="shared" si="46"/>
        <v>72</v>
      </c>
      <c r="O550" s="2">
        <v>2016</v>
      </c>
    </row>
    <row r="551" spans="1:15" ht="18.75">
      <c r="A551" s="18" t="s">
        <v>818</v>
      </c>
      <c r="B551" s="9" t="s">
        <v>743</v>
      </c>
      <c r="C551" s="2" t="s">
        <v>2161</v>
      </c>
      <c r="D551" s="2">
        <v>1</v>
      </c>
      <c r="E551" s="2" t="s">
        <v>744</v>
      </c>
      <c r="F551" s="1">
        <f t="shared" si="45"/>
        <v>0.75</v>
      </c>
      <c r="G551" s="2" t="s">
        <v>16</v>
      </c>
      <c r="H551" s="2"/>
      <c r="I551" s="2"/>
      <c r="J551" s="2"/>
      <c r="K551" s="2">
        <v>55</v>
      </c>
      <c r="L551" s="2">
        <v>23</v>
      </c>
      <c r="M551" s="10">
        <v>129</v>
      </c>
      <c r="N551" s="10">
        <f t="shared" si="46"/>
        <v>96.75</v>
      </c>
      <c r="O551" s="2">
        <v>2015</v>
      </c>
    </row>
    <row r="552" spans="1:15" ht="18.75">
      <c r="A552" s="18" t="s">
        <v>818</v>
      </c>
      <c r="B552" s="9" t="s">
        <v>644</v>
      </c>
      <c r="C552" s="2" t="s">
        <v>2161</v>
      </c>
      <c r="D552" s="2">
        <v>1</v>
      </c>
      <c r="E552" s="2" t="s">
        <v>745</v>
      </c>
      <c r="F552" s="1">
        <f t="shared" si="45"/>
        <v>0.5</v>
      </c>
      <c r="G552" s="2" t="s">
        <v>21</v>
      </c>
      <c r="H552" s="2" t="s">
        <v>41</v>
      </c>
      <c r="I552" s="2" t="s">
        <v>822</v>
      </c>
      <c r="J552" s="2"/>
      <c r="K552" s="2">
        <v>32</v>
      </c>
      <c r="L552" s="2">
        <v>18</v>
      </c>
      <c r="M552" s="10">
        <v>158</v>
      </c>
      <c r="N552" s="10">
        <f t="shared" si="46"/>
        <v>79</v>
      </c>
      <c r="O552" s="2">
        <v>2019</v>
      </c>
    </row>
    <row r="553" spans="1:15" ht="18.75">
      <c r="A553" s="18" t="s">
        <v>818</v>
      </c>
      <c r="B553" s="9" t="s">
        <v>296</v>
      </c>
      <c r="C553" s="2" t="s">
        <v>2161</v>
      </c>
      <c r="D553" s="2">
        <v>1</v>
      </c>
      <c r="E553" s="2" t="s">
        <v>561</v>
      </c>
      <c r="F553" s="1">
        <f t="shared" si="45"/>
        <v>0.75</v>
      </c>
      <c r="G553" s="2" t="s">
        <v>17</v>
      </c>
      <c r="H553" s="2" t="s">
        <v>563</v>
      </c>
      <c r="I553" s="2" t="s">
        <v>747</v>
      </c>
      <c r="J553" s="2"/>
      <c r="K553" s="2">
        <v>19</v>
      </c>
      <c r="L553" s="2">
        <v>10</v>
      </c>
      <c r="M553" s="10">
        <v>60</v>
      </c>
      <c r="N553" s="10">
        <f t="shared" si="46"/>
        <v>45</v>
      </c>
      <c r="O553" s="2">
        <v>2015</v>
      </c>
    </row>
    <row r="554" spans="1:15" ht="18.75">
      <c r="A554" s="18" t="s">
        <v>818</v>
      </c>
      <c r="B554" s="9" t="s">
        <v>748</v>
      </c>
      <c r="C554" s="2" t="s">
        <v>2161</v>
      </c>
      <c r="D554" s="2">
        <v>1</v>
      </c>
      <c r="E554" s="2" t="s">
        <v>2192</v>
      </c>
      <c r="F554" s="1">
        <f t="shared" si="45"/>
        <v>0.75</v>
      </c>
      <c r="G554" s="2" t="s">
        <v>17</v>
      </c>
      <c r="H554" s="2" t="s">
        <v>593</v>
      </c>
      <c r="I554" s="2" t="s">
        <v>594</v>
      </c>
      <c r="J554" s="2"/>
      <c r="K554" s="15"/>
      <c r="L554" s="2"/>
      <c r="M554" s="10">
        <v>30</v>
      </c>
      <c r="N554" s="10">
        <f t="shared" si="46"/>
        <v>22.5</v>
      </c>
      <c r="O554" s="2">
        <v>2017</v>
      </c>
    </row>
    <row r="555" spans="1:15" ht="18.75">
      <c r="A555" s="18" t="s">
        <v>818</v>
      </c>
      <c r="B555" s="9" t="s">
        <v>749</v>
      </c>
      <c r="C555" s="2" t="s">
        <v>2161</v>
      </c>
      <c r="D555" s="2">
        <v>3</v>
      </c>
      <c r="E555" s="2" t="s">
        <v>750</v>
      </c>
      <c r="F555" s="1">
        <f t="shared" si="45"/>
        <v>0.75</v>
      </c>
      <c r="G555" s="2" t="s">
        <v>17</v>
      </c>
      <c r="H555" s="2"/>
      <c r="I555" s="2"/>
      <c r="J555" s="2"/>
      <c r="K555" s="15"/>
      <c r="L555" s="2"/>
      <c r="M555" s="10">
        <v>43</v>
      </c>
      <c r="N555" s="10">
        <f t="shared" si="46"/>
        <v>32.25</v>
      </c>
      <c r="O555" s="2">
        <v>2014</v>
      </c>
    </row>
    <row r="556" spans="1:15" ht="18.75">
      <c r="A556" s="18" t="s">
        <v>818</v>
      </c>
      <c r="B556" s="9" t="s">
        <v>751</v>
      </c>
      <c r="C556" s="2" t="s">
        <v>2161</v>
      </c>
      <c r="D556" s="2">
        <v>2</v>
      </c>
      <c r="E556" s="2" t="s">
        <v>2335</v>
      </c>
      <c r="F556" s="1">
        <f t="shared" si="45"/>
        <v>0.25</v>
      </c>
      <c r="G556" s="2" t="s">
        <v>143</v>
      </c>
      <c r="H556" s="2"/>
      <c r="I556" s="2"/>
      <c r="J556" s="2"/>
      <c r="K556" s="2">
        <v>80</v>
      </c>
      <c r="L556" s="2">
        <v>33</v>
      </c>
      <c r="M556" s="10">
        <f>599*2</f>
        <v>1198</v>
      </c>
      <c r="N556" s="10">
        <f t="shared" si="46"/>
        <v>299.5</v>
      </c>
      <c r="O556" s="2">
        <v>2001</v>
      </c>
    </row>
    <row r="557" spans="1:15" ht="18.75">
      <c r="A557" s="18" t="s">
        <v>818</v>
      </c>
      <c r="B557" s="9" t="s">
        <v>752</v>
      </c>
      <c r="C557" s="2" t="s">
        <v>2161</v>
      </c>
      <c r="D557" s="2">
        <v>2</v>
      </c>
      <c r="E557" s="2" t="s">
        <v>2336</v>
      </c>
      <c r="F557" s="1">
        <f t="shared" si="45"/>
        <v>0.25</v>
      </c>
      <c r="G557" s="2" t="s">
        <v>143</v>
      </c>
      <c r="H557" s="2"/>
      <c r="I557" s="2"/>
      <c r="J557" s="2"/>
      <c r="K557" s="2">
        <v>39</v>
      </c>
      <c r="L557" s="2">
        <v>33</v>
      </c>
      <c r="M557" s="10">
        <f>200*2</f>
        <v>400</v>
      </c>
      <c r="N557" s="10">
        <f t="shared" si="46"/>
        <v>100</v>
      </c>
      <c r="O557" s="2">
        <v>2001</v>
      </c>
    </row>
    <row r="558" spans="1:15" ht="18.75">
      <c r="A558" s="18" t="s">
        <v>818</v>
      </c>
      <c r="B558" s="9" t="s">
        <v>753</v>
      </c>
      <c r="C558" s="2" t="s">
        <v>2161</v>
      </c>
      <c r="D558" s="2">
        <v>1</v>
      </c>
      <c r="E558" s="2" t="s">
        <v>754</v>
      </c>
      <c r="F558" s="1">
        <f t="shared" si="45"/>
        <v>0.25</v>
      </c>
      <c r="G558" s="2" t="s">
        <v>143</v>
      </c>
      <c r="H558" s="2"/>
      <c r="I558" s="2"/>
      <c r="J558" s="2"/>
      <c r="K558" s="15" t="s">
        <v>755</v>
      </c>
      <c r="L558" s="2"/>
      <c r="M558" s="10">
        <v>300</v>
      </c>
      <c r="N558" s="10">
        <f t="shared" si="46"/>
        <v>75</v>
      </c>
      <c r="O558" s="2">
        <v>2001</v>
      </c>
    </row>
    <row r="559" spans="1:15" ht="18.75">
      <c r="A559" s="18" t="s">
        <v>818</v>
      </c>
      <c r="B559" s="9" t="s">
        <v>2104</v>
      </c>
      <c r="C559" s="2" t="s">
        <v>2161</v>
      </c>
      <c r="D559" s="2">
        <v>4</v>
      </c>
      <c r="E559" s="2" t="s">
        <v>756</v>
      </c>
      <c r="F559" s="1">
        <f t="shared" si="45"/>
        <v>0.25</v>
      </c>
      <c r="G559" s="2" t="s">
        <v>143</v>
      </c>
      <c r="H559" s="2"/>
      <c r="I559" s="2"/>
      <c r="J559" s="2"/>
      <c r="K559" s="15"/>
      <c r="L559" s="2"/>
      <c r="M559" s="10">
        <v>600</v>
      </c>
      <c r="N559" s="10">
        <f t="shared" si="46"/>
        <v>150</v>
      </c>
      <c r="O559" s="2">
        <v>2001</v>
      </c>
    </row>
    <row r="560" spans="1:15" ht="111">
      <c r="A560" s="18" t="s">
        <v>818</v>
      </c>
      <c r="B560" s="9" t="s">
        <v>2105</v>
      </c>
      <c r="C560" s="2" t="s">
        <v>2161</v>
      </c>
      <c r="D560" s="2">
        <v>6</v>
      </c>
      <c r="E560" s="2" t="s">
        <v>823</v>
      </c>
      <c r="F560" s="1">
        <f t="shared" si="45"/>
        <v>0.25</v>
      </c>
      <c r="G560" s="2" t="s">
        <v>143</v>
      </c>
      <c r="H560" s="2"/>
      <c r="I560" s="2"/>
      <c r="J560" s="2"/>
      <c r="K560" s="2" t="s">
        <v>2174</v>
      </c>
      <c r="L560" s="2"/>
      <c r="M560" s="10">
        <f>69.5*2+164*2+37.5*2</f>
        <v>542</v>
      </c>
      <c r="N560" s="10">
        <f t="shared" si="46"/>
        <v>135.5</v>
      </c>
      <c r="O560" s="2"/>
    </row>
    <row r="561" spans="1:15" ht="18.75">
      <c r="A561" s="18" t="s">
        <v>818</v>
      </c>
      <c r="B561" s="9" t="s">
        <v>759</v>
      </c>
      <c r="C561" s="2" t="s">
        <v>2161</v>
      </c>
      <c r="D561" s="2">
        <v>1</v>
      </c>
      <c r="E561" s="2" t="s">
        <v>760</v>
      </c>
      <c r="F561" s="1">
        <f t="shared" si="45"/>
        <v>0.25</v>
      </c>
      <c r="G561" s="2" t="s">
        <v>143</v>
      </c>
      <c r="H561" s="2"/>
      <c r="I561" s="2"/>
      <c r="J561" s="2"/>
      <c r="K561" s="2">
        <v>30</v>
      </c>
      <c r="L561" s="2">
        <v>30</v>
      </c>
      <c r="M561" s="10">
        <f>50*2</f>
        <v>100</v>
      </c>
      <c r="N561" s="10">
        <f t="shared" si="46"/>
        <v>25</v>
      </c>
      <c r="O561" s="2">
        <v>2001</v>
      </c>
    </row>
    <row r="562" spans="1:15" ht="18.75">
      <c r="A562" s="18" t="s">
        <v>818</v>
      </c>
      <c r="B562" s="9" t="s">
        <v>763</v>
      </c>
      <c r="C562" s="2" t="s">
        <v>2161</v>
      </c>
      <c r="D562" s="2">
        <v>1</v>
      </c>
      <c r="E562" s="2"/>
      <c r="F562" s="1">
        <f t="shared" si="45"/>
        <v>0.75</v>
      </c>
      <c r="G562" s="2" t="s">
        <v>16</v>
      </c>
      <c r="H562" s="2" t="s">
        <v>680</v>
      </c>
      <c r="I562" s="2" t="s">
        <v>824</v>
      </c>
      <c r="J562" s="2"/>
      <c r="K562" s="2">
        <v>9</v>
      </c>
      <c r="L562" s="2"/>
      <c r="M562" s="10">
        <v>90</v>
      </c>
      <c r="N562" s="10">
        <f t="shared" si="46"/>
        <v>67.5</v>
      </c>
      <c r="O562" s="2">
        <v>2014</v>
      </c>
    </row>
    <row r="563" spans="1:15" ht="18.75">
      <c r="A563" s="18" t="s">
        <v>818</v>
      </c>
      <c r="B563" s="9" t="s">
        <v>801</v>
      </c>
      <c r="C563" s="2" t="s">
        <v>2161</v>
      </c>
      <c r="D563" s="11">
        <v>1</v>
      </c>
      <c r="E563" s="2" t="s">
        <v>766</v>
      </c>
      <c r="F563" s="1">
        <f t="shared" si="45"/>
        <v>0.75</v>
      </c>
      <c r="G563" s="2" t="s">
        <v>17</v>
      </c>
      <c r="H563" s="2" t="s">
        <v>680</v>
      </c>
      <c r="I563" s="2" t="s">
        <v>767</v>
      </c>
      <c r="J563" s="2"/>
      <c r="K563" s="2" t="s">
        <v>768</v>
      </c>
      <c r="L563" s="2"/>
      <c r="M563" s="10">
        <v>152</v>
      </c>
      <c r="N563" s="10">
        <f t="shared" si="46"/>
        <v>114</v>
      </c>
      <c r="O563" s="2">
        <v>2011</v>
      </c>
    </row>
    <row r="564" spans="1:15" ht="18.75">
      <c r="A564" s="18" t="s">
        <v>818</v>
      </c>
      <c r="B564" s="9" t="s">
        <v>769</v>
      </c>
      <c r="C564" s="2" t="s">
        <v>2161</v>
      </c>
      <c r="D564" s="2">
        <v>8</v>
      </c>
      <c r="E564" s="2" t="s">
        <v>770</v>
      </c>
      <c r="F564" s="1">
        <f t="shared" si="45"/>
        <v>0.5</v>
      </c>
      <c r="G564" s="2" t="s">
        <v>21</v>
      </c>
      <c r="H564" s="2"/>
      <c r="I564" s="2"/>
      <c r="J564" s="2"/>
      <c r="K564" s="2"/>
      <c r="L564" s="2"/>
      <c r="M564" s="10">
        <f>20*8</f>
        <v>160</v>
      </c>
      <c r="N564" s="10">
        <f t="shared" si="46"/>
        <v>80</v>
      </c>
      <c r="O564" s="2">
        <v>2018</v>
      </c>
    </row>
    <row r="565" spans="1:15" ht="18.75">
      <c r="A565" s="18" t="s">
        <v>818</v>
      </c>
      <c r="B565" s="9" t="s">
        <v>226</v>
      </c>
      <c r="C565" s="2" t="s">
        <v>2161</v>
      </c>
      <c r="D565" s="2">
        <v>2</v>
      </c>
      <c r="E565" s="2" t="s">
        <v>771</v>
      </c>
      <c r="F565" s="1">
        <f t="shared" si="45"/>
        <v>0.75</v>
      </c>
      <c r="G565" s="2" t="s">
        <v>17</v>
      </c>
      <c r="H565" s="2"/>
      <c r="I565" s="2"/>
      <c r="J565" s="2"/>
      <c r="K565" s="2"/>
      <c r="L565" s="2"/>
      <c r="M565" s="10">
        <f>100*2</f>
        <v>200</v>
      </c>
      <c r="N565" s="10">
        <f t="shared" si="46"/>
        <v>150</v>
      </c>
      <c r="O565" s="2">
        <v>2018</v>
      </c>
    </row>
    <row r="566" spans="1:15" ht="18.75">
      <c r="A566" s="18" t="s">
        <v>818</v>
      </c>
      <c r="B566" s="9" t="s">
        <v>772</v>
      </c>
      <c r="C566" s="2" t="s">
        <v>2161</v>
      </c>
      <c r="D566" s="2">
        <v>4</v>
      </c>
      <c r="E566" s="2" t="s">
        <v>773</v>
      </c>
      <c r="F566" s="1">
        <f t="shared" si="45"/>
        <v>0.75</v>
      </c>
      <c r="G566" s="2" t="s">
        <v>17</v>
      </c>
      <c r="H566" s="2"/>
      <c r="I566" s="2"/>
      <c r="J566" s="2"/>
      <c r="K566" s="2"/>
      <c r="L566" s="2"/>
      <c r="M566" s="10">
        <f>50*6</f>
        <v>300</v>
      </c>
      <c r="N566" s="10">
        <f t="shared" si="46"/>
        <v>225</v>
      </c>
      <c r="O566" s="2"/>
    </row>
    <row r="567" spans="1:15" ht="18.75">
      <c r="A567" s="18" t="s">
        <v>818</v>
      </c>
      <c r="B567" s="9" t="s">
        <v>774</v>
      </c>
      <c r="C567" s="2" t="s">
        <v>2161</v>
      </c>
      <c r="D567" s="2">
        <v>2</v>
      </c>
      <c r="E567" s="2" t="s">
        <v>825</v>
      </c>
      <c r="F567" s="1">
        <f t="shared" si="45"/>
        <v>0.75</v>
      </c>
      <c r="G567" s="2" t="s">
        <v>17</v>
      </c>
      <c r="H567" s="2"/>
      <c r="I567" s="2"/>
      <c r="J567" s="2"/>
      <c r="K567" s="2"/>
      <c r="L567" s="2"/>
      <c r="M567" s="10">
        <f>100*2</f>
        <v>200</v>
      </c>
      <c r="N567" s="10">
        <f t="shared" si="46"/>
        <v>150</v>
      </c>
      <c r="O567" s="2">
        <v>2018</v>
      </c>
    </row>
    <row r="568" spans="1:15" ht="18.75">
      <c r="A568" s="18" t="s">
        <v>818</v>
      </c>
      <c r="B568" s="9" t="s">
        <v>803</v>
      </c>
      <c r="C568" s="2" t="s">
        <v>2161</v>
      </c>
      <c r="D568" s="11">
        <v>6</v>
      </c>
      <c r="E568" s="2" t="s">
        <v>776</v>
      </c>
      <c r="F568" s="1">
        <f t="shared" si="45"/>
        <v>0.5</v>
      </c>
      <c r="G568" s="2" t="s">
        <v>21</v>
      </c>
      <c r="H568" s="2"/>
      <c r="I568" s="2"/>
      <c r="J568" s="2"/>
      <c r="K568" s="2">
        <v>25</v>
      </c>
      <c r="L568" s="2">
        <v>9</v>
      </c>
      <c r="M568" s="10">
        <f>16*6</f>
        <v>96</v>
      </c>
      <c r="N568" s="10">
        <f t="shared" si="46"/>
        <v>48</v>
      </c>
      <c r="O568" s="2"/>
    </row>
    <row r="569" spans="1:15" ht="18.75">
      <c r="A569" s="18" t="s">
        <v>818</v>
      </c>
      <c r="B569" s="9" t="s">
        <v>134</v>
      </c>
      <c r="C569" s="2" t="s">
        <v>2057</v>
      </c>
      <c r="D569" s="2">
        <v>1</v>
      </c>
      <c r="E569" s="2" t="s">
        <v>75</v>
      </c>
      <c r="F569" s="1">
        <f t="shared" si="45"/>
        <v>0.75</v>
      </c>
      <c r="G569" s="2" t="s">
        <v>17</v>
      </c>
      <c r="H569" s="2"/>
      <c r="I569" s="2"/>
      <c r="J569" s="2"/>
      <c r="K569" s="2"/>
      <c r="L569" s="2"/>
      <c r="M569" s="10">
        <v>70</v>
      </c>
      <c r="N569" s="10">
        <f t="shared" si="46"/>
        <v>52.5</v>
      </c>
      <c r="O569" s="2"/>
    </row>
    <row r="570" spans="1:15" ht="18.75">
      <c r="A570" s="18" t="s">
        <v>818</v>
      </c>
      <c r="B570" s="9" t="s">
        <v>567</v>
      </c>
      <c r="C570" s="2" t="s">
        <v>2161</v>
      </c>
      <c r="D570" s="2">
        <v>8</v>
      </c>
      <c r="E570" s="2"/>
      <c r="F570" s="1">
        <f t="shared" si="45"/>
        <v>0.75</v>
      </c>
      <c r="G570" s="2" t="s">
        <v>17</v>
      </c>
      <c r="H570" s="2"/>
      <c r="I570" s="2"/>
      <c r="J570" s="2"/>
      <c r="K570" s="2"/>
      <c r="L570" s="2"/>
      <c r="M570" s="10"/>
      <c r="N570" s="10">
        <f t="shared" si="46"/>
        <v>0</v>
      </c>
      <c r="O570" s="2"/>
    </row>
    <row r="571" spans="1:15" ht="18.75">
      <c r="A571" s="18" t="s">
        <v>818</v>
      </c>
      <c r="B571" s="9" t="s">
        <v>826</v>
      </c>
      <c r="C571" s="2" t="s">
        <v>2161</v>
      </c>
      <c r="D571" s="2">
        <v>1</v>
      </c>
      <c r="E571" s="2" t="s">
        <v>827</v>
      </c>
      <c r="F571" s="1">
        <f t="shared" si="45"/>
        <v>0.25</v>
      </c>
      <c r="G571" s="2" t="s">
        <v>143</v>
      </c>
      <c r="H571" s="15"/>
      <c r="I571" s="15"/>
      <c r="J571" s="15"/>
      <c r="K571" s="15"/>
      <c r="L571" s="15"/>
      <c r="M571" s="44">
        <v>282</v>
      </c>
      <c r="N571" s="10">
        <f t="shared" si="46"/>
        <v>70.5</v>
      </c>
      <c r="O571" s="15"/>
    </row>
    <row r="572" spans="1:15" ht="18.75">
      <c r="A572" s="18" t="s">
        <v>818</v>
      </c>
      <c r="B572" s="9" t="s">
        <v>777</v>
      </c>
      <c r="C572" s="2" t="s">
        <v>2161</v>
      </c>
      <c r="D572" s="2">
        <v>1</v>
      </c>
      <c r="E572" s="2" t="s">
        <v>828</v>
      </c>
      <c r="F572" s="1">
        <f t="shared" si="45"/>
        <v>0.5</v>
      </c>
      <c r="G572" s="2" t="s">
        <v>21</v>
      </c>
      <c r="H572" s="2"/>
      <c r="I572" s="2"/>
      <c r="J572" s="2"/>
      <c r="K572" s="2"/>
      <c r="L572" s="2"/>
      <c r="M572" s="10">
        <v>10</v>
      </c>
      <c r="N572" s="10">
        <f t="shared" si="46"/>
        <v>5</v>
      </c>
      <c r="O572" s="2"/>
    </row>
    <row r="573" spans="1:15" ht="18.75">
      <c r="A573" s="18" t="s">
        <v>818</v>
      </c>
      <c r="B573" s="9" t="s">
        <v>233</v>
      </c>
      <c r="C573" s="2" t="s">
        <v>2161</v>
      </c>
      <c r="D573" s="2">
        <v>10</v>
      </c>
      <c r="E573" s="2" t="s">
        <v>778</v>
      </c>
      <c r="F573" s="1">
        <f t="shared" si="45"/>
        <v>0.5</v>
      </c>
      <c r="G573" s="2" t="s">
        <v>21</v>
      </c>
      <c r="H573" s="2"/>
      <c r="I573" s="2"/>
      <c r="J573" s="2"/>
      <c r="K573" s="2"/>
      <c r="L573" s="2"/>
      <c r="M573" s="10">
        <f>9*18+49</f>
        <v>211</v>
      </c>
      <c r="N573" s="121">
        <f t="shared" si="46"/>
        <v>105.5</v>
      </c>
      <c r="O573" s="2"/>
    </row>
    <row r="574" spans="1:15" ht="18.75">
      <c r="A574" s="18" t="s">
        <v>818</v>
      </c>
      <c r="B574" s="9" t="s">
        <v>779</v>
      </c>
      <c r="C574" s="2" t="s">
        <v>2161</v>
      </c>
      <c r="D574" s="2">
        <v>2</v>
      </c>
      <c r="E574" s="2" t="s">
        <v>2331</v>
      </c>
      <c r="F574" s="1">
        <f t="shared" si="45"/>
        <v>0.5</v>
      </c>
      <c r="G574" s="2" t="s">
        <v>21</v>
      </c>
      <c r="H574" s="2"/>
      <c r="I574" s="2"/>
      <c r="J574" s="2"/>
      <c r="K574" s="2"/>
      <c r="L574" s="2"/>
      <c r="M574" s="10">
        <f>30*2</f>
        <v>60</v>
      </c>
      <c r="N574" s="121">
        <f t="shared" si="46"/>
        <v>30</v>
      </c>
      <c r="O574" s="2"/>
    </row>
    <row r="575" spans="1:15" ht="18.75">
      <c r="A575" s="18" t="s">
        <v>818</v>
      </c>
      <c r="B575" s="9" t="s">
        <v>780</v>
      </c>
      <c r="C575" s="2" t="s">
        <v>2161</v>
      </c>
      <c r="D575" s="2">
        <v>4</v>
      </c>
      <c r="E575" s="2" t="s">
        <v>781</v>
      </c>
      <c r="F575" s="1">
        <f t="shared" si="45"/>
        <v>0.75</v>
      </c>
      <c r="G575" s="2" t="s">
        <v>17</v>
      </c>
      <c r="H575" s="2" t="s">
        <v>304</v>
      </c>
      <c r="I575" s="2"/>
      <c r="J575" s="2"/>
      <c r="K575" s="2"/>
      <c r="L575" s="2"/>
      <c r="M575" s="10">
        <v>40</v>
      </c>
      <c r="N575" s="10">
        <f t="shared" si="46"/>
        <v>30</v>
      </c>
      <c r="O575" s="2"/>
    </row>
    <row r="576" spans="1:15" ht="18.75">
      <c r="A576" s="18" t="s">
        <v>818</v>
      </c>
      <c r="B576" s="9" t="s">
        <v>782</v>
      </c>
      <c r="C576" s="2" t="s">
        <v>2161</v>
      </c>
      <c r="D576" s="2">
        <v>4</v>
      </c>
      <c r="E576" s="2" t="s">
        <v>2332</v>
      </c>
      <c r="F576" s="1">
        <f t="shared" si="45"/>
        <v>0.5</v>
      </c>
      <c r="G576" s="2" t="s">
        <v>21</v>
      </c>
      <c r="H576" s="2"/>
      <c r="I576" s="2"/>
      <c r="J576" s="2"/>
      <c r="K576" s="2"/>
      <c r="L576" s="2"/>
      <c r="M576" s="10">
        <f>8*4</f>
        <v>32</v>
      </c>
      <c r="N576" s="121">
        <f t="shared" si="46"/>
        <v>16</v>
      </c>
      <c r="O576" s="2"/>
    </row>
    <row r="577" spans="1:15" ht="18.75">
      <c r="A577" s="18" t="s">
        <v>818</v>
      </c>
      <c r="B577" s="9" t="s">
        <v>591</v>
      </c>
      <c r="C577" s="2" t="s">
        <v>2161</v>
      </c>
      <c r="D577" s="2">
        <v>16</v>
      </c>
      <c r="E577" s="2" t="s">
        <v>829</v>
      </c>
      <c r="F577" s="1">
        <f t="shared" si="45"/>
        <v>0.5</v>
      </c>
      <c r="G577" s="2" t="s">
        <v>21</v>
      </c>
      <c r="H577" s="2"/>
      <c r="I577" s="2"/>
      <c r="J577" s="2"/>
      <c r="K577" s="2"/>
      <c r="L577" s="2"/>
      <c r="M577" s="10">
        <f>8*14</f>
        <v>112</v>
      </c>
      <c r="N577" s="10">
        <f t="shared" si="46"/>
        <v>56</v>
      </c>
      <c r="O577" s="2"/>
    </row>
    <row r="578" spans="1:15" ht="18.75">
      <c r="A578" s="18" t="s">
        <v>818</v>
      </c>
      <c r="B578" s="9" t="s">
        <v>784</v>
      </c>
      <c r="C578" s="2" t="s">
        <v>2161</v>
      </c>
      <c r="D578" s="2">
        <v>2</v>
      </c>
      <c r="E578" s="2"/>
      <c r="F578" s="1">
        <f t="shared" si="45"/>
        <v>0.5</v>
      </c>
      <c r="G578" s="2" t="s">
        <v>21</v>
      </c>
      <c r="H578" s="2" t="s">
        <v>605</v>
      </c>
      <c r="I578" s="2"/>
      <c r="J578" s="2"/>
      <c r="K578" s="2"/>
      <c r="L578" s="2"/>
      <c r="M578" s="10">
        <v>15</v>
      </c>
      <c r="N578" s="10">
        <f t="shared" si="46"/>
        <v>7.5</v>
      </c>
      <c r="O578" s="2">
        <v>2015</v>
      </c>
    </row>
    <row r="579" spans="1:15" ht="18.75">
      <c r="A579" s="18" t="s">
        <v>818</v>
      </c>
      <c r="B579" s="9" t="s">
        <v>830</v>
      </c>
      <c r="C579" s="2" t="s">
        <v>2161</v>
      </c>
      <c r="D579" s="2">
        <v>1</v>
      </c>
      <c r="E579" s="2"/>
      <c r="F579" s="1">
        <f t="shared" si="45"/>
        <v>0.5</v>
      </c>
      <c r="G579" s="2" t="s">
        <v>21</v>
      </c>
      <c r="H579" s="2" t="s">
        <v>831</v>
      </c>
      <c r="I579" s="2"/>
      <c r="J579" s="2"/>
      <c r="K579" s="2"/>
      <c r="L579" s="2"/>
      <c r="M579" s="45">
        <v>10</v>
      </c>
      <c r="N579" s="10">
        <f t="shared" si="46"/>
        <v>5</v>
      </c>
      <c r="O579" s="2">
        <v>2015</v>
      </c>
    </row>
    <row r="580" spans="1:15" ht="18.75">
      <c r="A580" s="18" t="s">
        <v>818</v>
      </c>
      <c r="B580" s="9" t="s">
        <v>785</v>
      </c>
      <c r="C580" s="2" t="s">
        <v>2161</v>
      </c>
      <c r="D580" s="2">
        <v>1</v>
      </c>
      <c r="E580" s="2"/>
      <c r="F580" s="1">
        <f t="shared" si="45"/>
        <v>0.75</v>
      </c>
      <c r="G580" s="2" t="s">
        <v>17</v>
      </c>
      <c r="H580" s="2" t="s">
        <v>786</v>
      </c>
      <c r="I580" s="2"/>
      <c r="J580" s="2"/>
      <c r="K580" s="2"/>
      <c r="L580" s="2"/>
      <c r="M580" s="10">
        <v>30</v>
      </c>
      <c r="N580" s="10">
        <f t="shared" si="46"/>
        <v>22.5</v>
      </c>
      <c r="O580" s="2">
        <v>2015</v>
      </c>
    </row>
    <row r="581" spans="1:15" s="23" customFormat="1" ht="18.75">
      <c r="A581" s="20" t="s">
        <v>818</v>
      </c>
      <c r="B581" s="9" t="s">
        <v>719</v>
      </c>
      <c r="C581" s="21" t="s">
        <v>2161</v>
      </c>
      <c r="D581" s="21">
        <v>1</v>
      </c>
      <c r="E581" s="21" t="s">
        <v>720</v>
      </c>
      <c r="F581" s="1">
        <f t="shared" si="45"/>
        <v>0.75</v>
      </c>
      <c r="G581" s="21" t="s">
        <v>17</v>
      </c>
      <c r="H581" s="21"/>
      <c r="I581" s="21"/>
      <c r="J581" s="21"/>
      <c r="K581" s="21"/>
      <c r="L581" s="21"/>
      <c r="M581" s="22">
        <v>19.989999999999998</v>
      </c>
      <c r="N581" s="121">
        <f t="shared" si="46"/>
        <v>14.9925</v>
      </c>
      <c r="O581" s="21"/>
    </row>
    <row r="583" spans="1:15" ht="18.75">
      <c r="A583" s="18" t="s">
        <v>832</v>
      </c>
      <c r="B583" s="9" t="s">
        <v>722</v>
      </c>
      <c r="C583" s="2" t="s">
        <v>2161</v>
      </c>
      <c r="D583" s="2">
        <v>2</v>
      </c>
      <c r="E583" s="2" t="s">
        <v>723</v>
      </c>
      <c r="F583" s="1">
        <f t="shared" ref="F583:F623" si="47">IF(G583="fair",0.5,0)+IF(G583="good",0.75,0)+IF(G583="poor",0.25,0)+IF(G583="like new",0.9,0)+IF(G583="new",1,0)</f>
        <v>0.75</v>
      </c>
      <c r="G583" s="2" t="s">
        <v>16</v>
      </c>
      <c r="H583" s="2"/>
      <c r="I583" s="2"/>
      <c r="J583" s="2"/>
      <c r="K583" s="2">
        <v>84</v>
      </c>
      <c r="L583" s="2">
        <v>60</v>
      </c>
      <c r="M583" s="10">
        <f>500*2</f>
        <v>1000</v>
      </c>
      <c r="N583" s="10">
        <f t="shared" ref="N583:N601" si="48">F583*M583</f>
        <v>750</v>
      </c>
      <c r="O583" s="2">
        <v>2018</v>
      </c>
    </row>
    <row r="584" spans="1:15" ht="18.75">
      <c r="A584" s="18" t="s">
        <v>832</v>
      </c>
      <c r="B584" s="9" t="s">
        <v>724</v>
      </c>
      <c r="C584" s="2" t="s">
        <v>2161</v>
      </c>
      <c r="D584" s="2">
        <v>2</v>
      </c>
      <c r="E584" s="2" t="s">
        <v>718</v>
      </c>
      <c r="F584" s="1">
        <f t="shared" si="47"/>
        <v>0.75</v>
      </c>
      <c r="G584" s="2" t="s">
        <v>16</v>
      </c>
      <c r="H584" s="2"/>
      <c r="I584" s="2"/>
      <c r="J584" s="2"/>
      <c r="K584" s="2">
        <v>84</v>
      </c>
      <c r="L584" s="2">
        <v>60</v>
      </c>
      <c r="M584" s="10">
        <f>200*2</f>
        <v>400</v>
      </c>
      <c r="N584" s="10">
        <f t="shared" si="48"/>
        <v>300</v>
      </c>
      <c r="O584" s="2">
        <v>2018</v>
      </c>
    </row>
    <row r="585" spans="1:15" ht="18.75">
      <c r="A585" s="18" t="s">
        <v>832</v>
      </c>
      <c r="B585" s="9" t="s">
        <v>578</v>
      </c>
      <c r="C585" s="2" t="s">
        <v>2161</v>
      </c>
      <c r="D585" s="2">
        <v>8</v>
      </c>
      <c r="E585" s="2" t="s">
        <v>723</v>
      </c>
      <c r="F585" s="1">
        <f t="shared" si="47"/>
        <v>0.75</v>
      </c>
      <c r="G585" s="2" t="s">
        <v>16</v>
      </c>
      <c r="H585" s="2"/>
      <c r="I585" s="2"/>
      <c r="J585" s="2"/>
      <c r="K585" s="2">
        <v>82</v>
      </c>
      <c r="L585" s="2">
        <v>42</v>
      </c>
      <c r="M585" s="10">
        <f>300*8</f>
        <v>2400</v>
      </c>
      <c r="N585" s="10">
        <f t="shared" si="48"/>
        <v>1800</v>
      </c>
      <c r="O585" s="2">
        <v>2018</v>
      </c>
    </row>
    <row r="586" spans="1:15" ht="18.75">
      <c r="A586" s="18" t="s">
        <v>832</v>
      </c>
      <c r="B586" s="9" t="s">
        <v>581</v>
      </c>
      <c r="C586" s="2" t="s">
        <v>2161</v>
      </c>
      <c r="D586" s="2">
        <v>8</v>
      </c>
      <c r="E586" s="2" t="s">
        <v>833</v>
      </c>
      <c r="F586" s="1">
        <f t="shared" si="47"/>
        <v>0.75</v>
      </c>
      <c r="G586" s="2" t="s">
        <v>16</v>
      </c>
      <c r="H586" s="11"/>
      <c r="I586" s="2"/>
      <c r="J586" s="2"/>
      <c r="K586" s="2">
        <v>82</v>
      </c>
      <c r="L586" s="2">
        <v>42</v>
      </c>
      <c r="M586" s="10">
        <f>75*8</f>
        <v>600</v>
      </c>
      <c r="N586" s="10">
        <f t="shared" si="48"/>
        <v>450</v>
      </c>
      <c r="O586" s="2">
        <v>2018</v>
      </c>
    </row>
    <row r="587" spans="1:15" ht="18.75">
      <c r="A587" s="18" t="s">
        <v>832</v>
      </c>
      <c r="B587" s="9" t="s">
        <v>725</v>
      </c>
      <c r="C587" s="2" t="s">
        <v>2161</v>
      </c>
      <c r="D587" s="2">
        <v>4</v>
      </c>
      <c r="E587" s="2" t="s">
        <v>726</v>
      </c>
      <c r="F587" s="1">
        <f t="shared" si="47"/>
        <v>0.5</v>
      </c>
      <c r="G587" s="2" t="s">
        <v>21</v>
      </c>
      <c r="H587" s="2" t="s">
        <v>727</v>
      </c>
      <c r="I587" s="2"/>
      <c r="J587" s="2"/>
      <c r="K587" s="2">
        <v>22</v>
      </c>
      <c r="L587" s="2">
        <v>16</v>
      </c>
      <c r="M587" s="10">
        <f>50*4</f>
        <v>200</v>
      </c>
      <c r="N587" s="10">
        <f t="shared" si="48"/>
        <v>100</v>
      </c>
      <c r="O587" s="2">
        <v>2018</v>
      </c>
    </row>
    <row r="588" spans="1:15" ht="18.75">
      <c r="A588" s="18" t="s">
        <v>832</v>
      </c>
      <c r="B588" s="9" t="s">
        <v>728</v>
      </c>
      <c r="C588" s="2" t="s">
        <v>2161</v>
      </c>
      <c r="D588" s="2">
        <v>4</v>
      </c>
      <c r="E588" s="2" t="s">
        <v>729</v>
      </c>
      <c r="F588" s="1">
        <f t="shared" si="47"/>
        <v>0.75</v>
      </c>
      <c r="G588" s="2" t="s">
        <v>16</v>
      </c>
      <c r="H588" s="2" t="s">
        <v>730</v>
      </c>
      <c r="I588" s="2"/>
      <c r="J588" s="2"/>
      <c r="K588" s="2">
        <v>24</v>
      </c>
      <c r="L588" s="2"/>
      <c r="M588" s="10">
        <v>236</v>
      </c>
      <c r="N588" s="10">
        <f t="shared" si="48"/>
        <v>177</v>
      </c>
      <c r="O588" s="2">
        <v>2018</v>
      </c>
    </row>
    <row r="589" spans="1:15" ht="18.75">
      <c r="A589" s="18" t="s">
        <v>832</v>
      </c>
      <c r="B589" s="9" t="s">
        <v>731</v>
      </c>
      <c r="C589" s="2" t="s">
        <v>2161</v>
      </c>
      <c r="D589" s="2">
        <v>1</v>
      </c>
      <c r="E589" s="2" t="s">
        <v>834</v>
      </c>
      <c r="F589" s="1">
        <f t="shared" si="47"/>
        <v>0.75</v>
      </c>
      <c r="G589" s="2" t="s">
        <v>17</v>
      </c>
      <c r="H589" s="2"/>
      <c r="I589" s="2"/>
      <c r="J589" s="2"/>
      <c r="K589" s="2">
        <v>24</v>
      </c>
      <c r="L589" s="2"/>
      <c r="M589" s="10">
        <v>35</v>
      </c>
      <c r="N589" s="10">
        <f t="shared" si="48"/>
        <v>26.25</v>
      </c>
      <c r="O589" s="2"/>
    </row>
    <row r="590" spans="1:15" ht="18.75">
      <c r="A590" s="18" t="s">
        <v>832</v>
      </c>
      <c r="B590" s="9" t="s">
        <v>733</v>
      </c>
      <c r="C590" s="2" t="s">
        <v>2161</v>
      </c>
      <c r="D590" s="2">
        <v>7</v>
      </c>
      <c r="E590" s="2" t="s">
        <v>835</v>
      </c>
      <c r="F590" s="1">
        <f t="shared" si="47"/>
        <v>0.75</v>
      </c>
      <c r="G590" s="2" t="s">
        <v>17</v>
      </c>
      <c r="H590" s="2"/>
      <c r="I590" s="2"/>
      <c r="J590" s="2"/>
      <c r="K590" s="2" t="s">
        <v>735</v>
      </c>
      <c r="L590" s="2">
        <v>28</v>
      </c>
      <c r="M590" s="10">
        <f>20*6</f>
        <v>120</v>
      </c>
      <c r="N590" s="10">
        <f t="shared" si="48"/>
        <v>90</v>
      </c>
      <c r="O590" s="2">
        <v>2018</v>
      </c>
    </row>
    <row r="591" spans="1:15" ht="18.75">
      <c r="A591" s="18" t="s">
        <v>832</v>
      </c>
      <c r="B591" s="9" t="s">
        <v>736</v>
      </c>
      <c r="C591" s="2" t="s">
        <v>2161</v>
      </c>
      <c r="D591" s="2">
        <v>4</v>
      </c>
      <c r="E591" s="2" t="s">
        <v>737</v>
      </c>
      <c r="F591" s="1">
        <f t="shared" si="47"/>
        <v>0.75</v>
      </c>
      <c r="G591" s="2" t="s">
        <v>17</v>
      </c>
      <c r="H591" s="2"/>
      <c r="I591" s="2"/>
      <c r="J591" s="2"/>
      <c r="K591" s="2">
        <v>78</v>
      </c>
      <c r="L591" s="2">
        <v>30</v>
      </c>
      <c r="M591" s="10">
        <f>100*6</f>
        <v>600</v>
      </c>
      <c r="N591" s="10">
        <f t="shared" si="48"/>
        <v>450</v>
      </c>
      <c r="O591" s="2"/>
    </row>
    <row r="592" spans="1:15" ht="18.75">
      <c r="A592" s="18" t="s">
        <v>832</v>
      </c>
      <c r="B592" s="9" t="s">
        <v>738</v>
      </c>
      <c r="C592" s="2" t="s">
        <v>2161</v>
      </c>
      <c r="D592" s="2">
        <v>4</v>
      </c>
      <c r="E592" s="2" t="s">
        <v>739</v>
      </c>
      <c r="F592" s="1">
        <f t="shared" si="47"/>
        <v>0.5</v>
      </c>
      <c r="G592" s="2" t="s">
        <v>21</v>
      </c>
      <c r="H592" s="2"/>
      <c r="I592" s="2"/>
      <c r="J592" s="2"/>
      <c r="K592" s="2">
        <v>40</v>
      </c>
      <c r="L592" s="2">
        <v>18</v>
      </c>
      <c r="M592" s="10">
        <v>240</v>
      </c>
      <c r="N592" s="10">
        <f t="shared" si="48"/>
        <v>120</v>
      </c>
      <c r="O592" s="2">
        <v>2006</v>
      </c>
    </row>
    <row r="593" spans="1:15" ht="18.75">
      <c r="A593" s="18" t="s">
        <v>832</v>
      </c>
      <c r="B593" s="9" t="s">
        <v>791</v>
      </c>
      <c r="C593" s="2" t="s">
        <v>2161</v>
      </c>
      <c r="D593" s="2">
        <v>4</v>
      </c>
      <c r="E593" s="2" t="s">
        <v>740</v>
      </c>
      <c r="F593" s="1">
        <f t="shared" si="47"/>
        <v>0.5</v>
      </c>
      <c r="G593" s="2" t="s">
        <v>21</v>
      </c>
      <c r="H593" s="2"/>
      <c r="I593" s="2"/>
      <c r="J593" s="2"/>
      <c r="K593" s="2">
        <v>36</v>
      </c>
      <c r="L593" s="2">
        <v>16</v>
      </c>
      <c r="M593" s="10">
        <v>200</v>
      </c>
      <c r="N593" s="10">
        <f t="shared" si="48"/>
        <v>100</v>
      </c>
      <c r="O593" s="2"/>
    </row>
    <row r="594" spans="1:15" ht="18.75">
      <c r="A594" s="18" t="s">
        <v>832</v>
      </c>
      <c r="B594" s="9" t="s">
        <v>292</v>
      </c>
      <c r="C594" s="2" t="s">
        <v>2161</v>
      </c>
      <c r="D594" s="2">
        <v>2</v>
      </c>
      <c r="E594" s="2" t="s">
        <v>821</v>
      </c>
      <c r="F594" s="1">
        <f t="shared" si="47"/>
        <v>0.75</v>
      </c>
      <c r="G594" s="2" t="s">
        <v>17</v>
      </c>
      <c r="H594" s="2" t="s">
        <v>290</v>
      </c>
      <c r="I594" s="2" t="s">
        <v>742</v>
      </c>
      <c r="J594" s="2"/>
      <c r="K594" s="2"/>
      <c r="L594" s="2"/>
      <c r="M594" s="10">
        <v>96</v>
      </c>
      <c r="N594" s="10">
        <f t="shared" si="48"/>
        <v>72</v>
      </c>
      <c r="O594" s="2">
        <v>2016</v>
      </c>
    </row>
    <row r="595" spans="1:15" ht="18.75">
      <c r="A595" s="18" t="s">
        <v>832</v>
      </c>
      <c r="B595" s="9" t="s">
        <v>2108</v>
      </c>
      <c r="C595" s="2" t="s">
        <v>2161</v>
      </c>
      <c r="D595" s="2">
        <v>1</v>
      </c>
      <c r="E595" s="2" t="s">
        <v>744</v>
      </c>
      <c r="F595" s="1">
        <f t="shared" si="47"/>
        <v>0.75</v>
      </c>
      <c r="G595" s="2" t="s">
        <v>16</v>
      </c>
      <c r="H595" s="2"/>
      <c r="I595" s="2"/>
      <c r="J595" s="2"/>
      <c r="K595" s="2">
        <v>55</v>
      </c>
      <c r="L595" s="2">
        <v>23</v>
      </c>
      <c r="M595" s="10">
        <v>129</v>
      </c>
      <c r="N595" s="10">
        <f t="shared" si="48"/>
        <v>96.75</v>
      </c>
      <c r="O595" s="2">
        <v>2015</v>
      </c>
    </row>
    <row r="596" spans="1:15" ht="18.75">
      <c r="A596" s="18" t="s">
        <v>832</v>
      </c>
      <c r="B596" s="9" t="s">
        <v>644</v>
      </c>
      <c r="C596" s="2" t="s">
        <v>2161</v>
      </c>
      <c r="D596" s="2">
        <v>1</v>
      </c>
      <c r="E596" s="2" t="s">
        <v>836</v>
      </c>
      <c r="F596" s="1">
        <f t="shared" si="47"/>
        <v>0.5</v>
      </c>
      <c r="G596" s="2" t="s">
        <v>21</v>
      </c>
      <c r="H596" s="2" t="s">
        <v>41</v>
      </c>
      <c r="I596" s="2" t="s">
        <v>837</v>
      </c>
      <c r="J596" s="2"/>
      <c r="K596" s="2">
        <v>32</v>
      </c>
      <c r="L596" s="2">
        <v>18</v>
      </c>
      <c r="M596" s="10">
        <v>158</v>
      </c>
      <c r="N596" s="10">
        <f t="shared" si="48"/>
        <v>79</v>
      </c>
      <c r="O596" s="2">
        <v>2019</v>
      </c>
    </row>
    <row r="597" spans="1:15" ht="18.75">
      <c r="A597" s="18" t="s">
        <v>832</v>
      </c>
      <c r="B597" s="9" t="s">
        <v>296</v>
      </c>
      <c r="C597" s="2" t="s">
        <v>2161</v>
      </c>
      <c r="D597" s="2">
        <v>1</v>
      </c>
      <c r="E597" s="2" t="s">
        <v>561</v>
      </c>
      <c r="F597" s="1">
        <f t="shared" si="47"/>
        <v>0.75</v>
      </c>
      <c r="G597" s="2" t="s">
        <v>17</v>
      </c>
      <c r="H597" s="2" t="s">
        <v>563</v>
      </c>
      <c r="I597" s="2" t="s">
        <v>747</v>
      </c>
      <c r="J597" s="2"/>
      <c r="K597" s="2">
        <v>19</v>
      </c>
      <c r="L597" s="2">
        <v>10</v>
      </c>
      <c r="M597" s="10">
        <v>60</v>
      </c>
      <c r="N597" s="10">
        <f t="shared" si="48"/>
        <v>45</v>
      </c>
      <c r="O597" s="2">
        <v>2015</v>
      </c>
    </row>
    <row r="598" spans="1:15" ht="18.75">
      <c r="A598" s="18" t="s">
        <v>832</v>
      </c>
      <c r="B598" s="9" t="s">
        <v>748</v>
      </c>
      <c r="C598" s="2" t="s">
        <v>2161</v>
      </c>
      <c r="D598" s="2">
        <v>1</v>
      </c>
      <c r="E598" s="2" t="s">
        <v>2192</v>
      </c>
      <c r="F598" s="1">
        <f t="shared" si="47"/>
        <v>0.75</v>
      </c>
      <c r="G598" s="2" t="s">
        <v>17</v>
      </c>
      <c r="H598" s="2" t="s">
        <v>593</v>
      </c>
      <c r="I598" s="2"/>
      <c r="J598" s="2"/>
      <c r="K598" s="15"/>
      <c r="L598" s="2"/>
      <c r="M598" s="10">
        <v>30</v>
      </c>
      <c r="N598" s="10">
        <f t="shared" si="48"/>
        <v>22.5</v>
      </c>
      <c r="O598" s="2">
        <v>2017</v>
      </c>
    </row>
    <row r="599" spans="1:15" ht="18.75">
      <c r="A599" s="18" t="s">
        <v>832</v>
      </c>
      <c r="B599" s="9" t="s">
        <v>749</v>
      </c>
      <c r="C599" s="2" t="s">
        <v>2161</v>
      </c>
      <c r="D599" s="2">
        <v>3</v>
      </c>
      <c r="E599" s="2" t="s">
        <v>750</v>
      </c>
      <c r="F599" s="1">
        <f t="shared" si="47"/>
        <v>0.75</v>
      </c>
      <c r="G599" s="2" t="s">
        <v>17</v>
      </c>
      <c r="H599" s="2"/>
      <c r="I599" s="2"/>
      <c r="J599" s="2"/>
      <c r="K599" s="15"/>
      <c r="L599" s="2"/>
      <c r="M599" s="10">
        <v>43</v>
      </c>
      <c r="N599" s="10">
        <f t="shared" si="48"/>
        <v>32.25</v>
      </c>
      <c r="O599" s="2">
        <v>2014</v>
      </c>
    </row>
    <row r="600" spans="1:15" ht="18.75">
      <c r="A600" s="18" t="s">
        <v>832</v>
      </c>
      <c r="B600" s="9" t="s">
        <v>751</v>
      </c>
      <c r="C600" s="2" t="s">
        <v>2161</v>
      </c>
      <c r="D600" s="2">
        <v>1</v>
      </c>
      <c r="E600" s="2" t="s">
        <v>2336</v>
      </c>
      <c r="F600" s="1">
        <f t="shared" si="47"/>
        <v>0.25</v>
      </c>
      <c r="G600" s="2" t="s">
        <v>143</v>
      </c>
      <c r="H600" s="2"/>
      <c r="I600" s="2"/>
      <c r="J600" s="2"/>
      <c r="K600" s="2">
        <v>80</v>
      </c>
      <c r="L600" s="2">
        <v>33</v>
      </c>
      <c r="M600" s="10">
        <v>299</v>
      </c>
      <c r="N600" s="10">
        <f t="shared" si="48"/>
        <v>74.75</v>
      </c>
      <c r="O600" s="2">
        <v>2001</v>
      </c>
    </row>
    <row r="601" spans="1:15" ht="18.75">
      <c r="A601" s="18" t="s">
        <v>832</v>
      </c>
      <c r="B601" s="9" t="s">
        <v>203</v>
      </c>
      <c r="C601" s="2" t="s">
        <v>2161</v>
      </c>
      <c r="D601" s="2">
        <v>2</v>
      </c>
      <c r="E601" s="2" t="s">
        <v>2337</v>
      </c>
      <c r="F601" s="1">
        <f t="shared" si="47"/>
        <v>0.25</v>
      </c>
      <c r="G601" s="2" t="s">
        <v>143</v>
      </c>
      <c r="H601" s="2"/>
      <c r="I601" s="2"/>
      <c r="J601" s="2"/>
      <c r="K601" s="2"/>
      <c r="L601" s="2"/>
      <c r="M601" s="10">
        <f>250*2</f>
        <v>500</v>
      </c>
      <c r="N601" s="10">
        <f t="shared" si="48"/>
        <v>125</v>
      </c>
      <c r="O601" s="2">
        <v>2001</v>
      </c>
    </row>
    <row r="602" spans="1:15" ht="18.75">
      <c r="A602" s="18" t="s">
        <v>832</v>
      </c>
      <c r="B602" s="9" t="s">
        <v>753</v>
      </c>
      <c r="C602" s="2" t="s">
        <v>2161</v>
      </c>
      <c r="D602" s="2">
        <v>1</v>
      </c>
      <c r="E602" s="2" t="s">
        <v>798</v>
      </c>
      <c r="F602" s="1">
        <f t="shared" si="47"/>
        <v>0.25</v>
      </c>
      <c r="G602" s="2" t="s">
        <v>143</v>
      </c>
      <c r="H602" s="2"/>
      <c r="I602" s="2"/>
      <c r="J602" s="2"/>
      <c r="K602" s="15" t="s">
        <v>755</v>
      </c>
      <c r="L602" s="2"/>
      <c r="M602" s="46">
        <v>300</v>
      </c>
      <c r="N602" s="10">
        <f>F603*M602</f>
        <v>75</v>
      </c>
      <c r="O602" s="2">
        <v>2001</v>
      </c>
    </row>
    <row r="603" spans="1:15" ht="18.75">
      <c r="A603" s="18" t="s">
        <v>832</v>
      </c>
      <c r="B603" s="9" t="s">
        <v>2109</v>
      </c>
      <c r="C603" s="2" t="s">
        <v>2161</v>
      </c>
      <c r="D603" s="2">
        <v>4</v>
      </c>
      <c r="E603" s="2" t="s">
        <v>756</v>
      </c>
      <c r="F603" s="1">
        <f t="shared" si="47"/>
        <v>0.25</v>
      </c>
      <c r="G603" s="2" t="s">
        <v>143</v>
      </c>
      <c r="H603" s="2"/>
      <c r="I603" s="2"/>
      <c r="J603" s="2"/>
      <c r="K603" s="15"/>
      <c r="L603" s="13"/>
      <c r="M603" s="44">
        <v>600</v>
      </c>
      <c r="N603" s="10">
        <f t="shared" ref="N603:N623" si="49">F603*M603</f>
        <v>150</v>
      </c>
      <c r="O603" s="2">
        <v>2001</v>
      </c>
    </row>
    <row r="604" spans="1:15" ht="95.25">
      <c r="A604" s="18" t="s">
        <v>832</v>
      </c>
      <c r="B604" s="9" t="s">
        <v>2105</v>
      </c>
      <c r="C604" s="2" t="s">
        <v>2161</v>
      </c>
      <c r="D604" s="2">
        <v>6</v>
      </c>
      <c r="E604" s="2" t="s">
        <v>838</v>
      </c>
      <c r="F604" s="1">
        <f t="shared" si="47"/>
        <v>0.25</v>
      </c>
      <c r="G604" s="2" t="s">
        <v>143</v>
      </c>
      <c r="H604" s="2"/>
      <c r="I604" s="2"/>
      <c r="J604" s="2"/>
      <c r="K604" s="2" t="s">
        <v>2175</v>
      </c>
      <c r="L604" s="2"/>
      <c r="M604" s="31">
        <f>164*4+69*2</f>
        <v>794</v>
      </c>
      <c r="N604" s="10">
        <f t="shared" si="49"/>
        <v>198.5</v>
      </c>
      <c r="O604" s="2"/>
    </row>
    <row r="605" spans="1:15" ht="18.75">
      <c r="A605" s="18" t="s">
        <v>832</v>
      </c>
      <c r="B605" s="9" t="s">
        <v>759</v>
      </c>
      <c r="C605" s="2" t="s">
        <v>2161</v>
      </c>
      <c r="D605" s="2">
        <v>1</v>
      </c>
      <c r="E605" s="2" t="s">
        <v>839</v>
      </c>
      <c r="F605" s="1">
        <f t="shared" si="47"/>
        <v>0.25</v>
      </c>
      <c r="G605" s="2" t="s">
        <v>143</v>
      </c>
      <c r="H605" s="2"/>
      <c r="I605" s="2"/>
      <c r="J605" s="2"/>
      <c r="K605" s="2">
        <v>30</v>
      </c>
      <c r="L605" s="2">
        <v>30</v>
      </c>
      <c r="M605" s="10">
        <v>50</v>
      </c>
      <c r="N605" s="10">
        <f t="shared" si="49"/>
        <v>12.5</v>
      </c>
      <c r="O605" s="2">
        <v>2001</v>
      </c>
    </row>
    <row r="606" spans="1:15" ht="18.75">
      <c r="A606" s="18" t="s">
        <v>832</v>
      </c>
      <c r="B606" s="9" t="s">
        <v>763</v>
      </c>
      <c r="C606" s="2" t="s">
        <v>2161</v>
      </c>
      <c r="D606" s="2">
        <v>1</v>
      </c>
      <c r="E606" s="2"/>
      <c r="F606" s="1">
        <f t="shared" si="47"/>
        <v>0.75</v>
      </c>
      <c r="G606" s="2" t="s">
        <v>16</v>
      </c>
      <c r="H606" s="2" t="s">
        <v>680</v>
      </c>
      <c r="I606" s="2" t="s">
        <v>840</v>
      </c>
      <c r="J606" s="2"/>
      <c r="K606" s="2">
        <v>9</v>
      </c>
      <c r="L606" s="2"/>
      <c r="M606" s="10">
        <v>90</v>
      </c>
      <c r="N606" s="10">
        <f t="shared" si="49"/>
        <v>67.5</v>
      </c>
      <c r="O606" s="2">
        <v>2014</v>
      </c>
    </row>
    <row r="607" spans="1:15" ht="18.75">
      <c r="A607" s="18" t="s">
        <v>832</v>
      </c>
      <c r="B607" s="9" t="s">
        <v>801</v>
      </c>
      <c r="C607" s="2" t="s">
        <v>2161</v>
      </c>
      <c r="D607" s="11">
        <v>1</v>
      </c>
      <c r="E607" s="2" t="s">
        <v>766</v>
      </c>
      <c r="F607" s="1">
        <f t="shared" si="47"/>
        <v>0.75</v>
      </c>
      <c r="G607" s="2" t="s">
        <v>17</v>
      </c>
      <c r="H607" s="2" t="s">
        <v>680</v>
      </c>
      <c r="I607" s="2" t="s">
        <v>841</v>
      </c>
      <c r="J607" s="2"/>
      <c r="K607" s="2" t="s">
        <v>768</v>
      </c>
      <c r="L607" s="2"/>
      <c r="M607" s="10">
        <v>152</v>
      </c>
      <c r="N607" s="10">
        <f t="shared" si="49"/>
        <v>114</v>
      </c>
      <c r="O607" s="2">
        <v>2011</v>
      </c>
    </row>
    <row r="608" spans="1:15" ht="18.75">
      <c r="A608" s="18" t="s">
        <v>832</v>
      </c>
      <c r="B608" s="9" t="s">
        <v>769</v>
      </c>
      <c r="C608" s="2" t="s">
        <v>2161</v>
      </c>
      <c r="D608" s="2">
        <v>1</v>
      </c>
      <c r="E608" s="2" t="s">
        <v>770</v>
      </c>
      <c r="F608" s="1">
        <f t="shared" si="47"/>
        <v>0.5</v>
      </c>
      <c r="G608" s="2" t="s">
        <v>21</v>
      </c>
      <c r="H608" s="2"/>
      <c r="I608" s="2"/>
      <c r="J608" s="2"/>
      <c r="K608" s="2"/>
      <c r="L608" s="2"/>
      <c r="M608" s="10">
        <f>20*8</f>
        <v>160</v>
      </c>
      <c r="N608" s="10">
        <f t="shared" si="49"/>
        <v>80</v>
      </c>
      <c r="O608" s="2">
        <v>2018</v>
      </c>
    </row>
    <row r="609" spans="1:15" ht="18.75">
      <c r="A609" s="18" t="s">
        <v>832</v>
      </c>
      <c r="B609" s="9" t="s">
        <v>226</v>
      </c>
      <c r="C609" s="2" t="s">
        <v>2161</v>
      </c>
      <c r="D609" s="2">
        <v>2</v>
      </c>
      <c r="E609" s="2" t="s">
        <v>771</v>
      </c>
      <c r="F609" s="1">
        <f t="shared" si="47"/>
        <v>0.75</v>
      </c>
      <c r="G609" s="2" t="s">
        <v>17</v>
      </c>
      <c r="H609" s="2"/>
      <c r="I609" s="2"/>
      <c r="J609" s="2"/>
      <c r="K609" s="2"/>
      <c r="L609" s="2"/>
      <c r="M609" s="10">
        <f>100*2</f>
        <v>200</v>
      </c>
      <c r="N609" s="10">
        <f t="shared" si="49"/>
        <v>150</v>
      </c>
      <c r="O609" s="2">
        <v>2018</v>
      </c>
    </row>
    <row r="610" spans="1:15" ht="18.75">
      <c r="A610" s="18" t="s">
        <v>832</v>
      </c>
      <c r="B610" s="9" t="s">
        <v>772</v>
      </c>
      <c r="C610" s="2" t="s">
        <v>2161</v>
      </c>
      <c r="D610" s="2">
        <v>4</v>
      </c>
      <c r="E610" s="2" t="s">
        <v>773</v>
      </c>
      <c r="F610" s="1">
        <f t="shared" si="47"/>
        <v>0.75</v>
      </c>
      <c r="G610" s="2" t="s">
        <v>17</v>
      </c>
      <c r="H610" s="2"/>
      <c r="I610" s="2"/>
      <c r="J610" s="2"/>
      <c r="K610" s="2"/>
      <c r="L610" s="2"/>
      <c r="M610" s="10">
        <f>50*6</f>
        <v>300</v>
      </c>
      <c r="N610" s="10">
        <f t="shared" si="49"/>
        <v>225</v>
      </c>
      <c r="O610" s="2"/>
    </row>
    <row r="611" spans="1:15" ht="18.75">
      <c r="A611" s="18" t="s">
        <v>832</v>
      </c>
      <c r="B611" s="9" t="s">
        <v>774</v>
      </c>
      <c r="C611" s="2" t="s">
        <v>2161</v>
      </c>
      <c r="D611" s="2">
        <v>2</v>
      </c>
      <c r="E611" s="2" t="s">
        <v>775</v>
      </c>
      <c r="F611" s="1">
        <f t="shared" si="47"/>
        <v>0.75</v>
      </c>
      <c r="G611" s="2" t="s">
        <v>17</v>
      </c>
      <c r="H611" s="2"/>
      <c r="I611" s="2"/>
      <c r="J611" s="2"/>
      <c r="K611" s="2"/>
      <c r="L611" s="2"/>
      <c r="M611" s="10">
        <f>100*2</f>
        <v>200</v>
      </c>
      <c r="N611" s="10">
        <f t="shared" si="49"/>
        <v>150</v>
      </c>
      <c r="O611" s="2">
        <v>2018</v>
      </c>
    </row>
    <row r="612" spans="1:15" ht="18.75">
      <c r="A612" s="18" t="s">
        <v>832</v>
      </c>
      <c r="B612" s="9" t="s">
        <v>803</v>
      </c>
      <c r="C612" s="2" t="s">
        <v>2161</v>
      </c>
      <c r="D612" s="2">
        <v>6</v>
      </c>
      <c r="E612" s="2" t="s">
        <v>776</v>
      </c>
      <c r="F612" s="1">
        <f t="shared" si="47"/>
        <v>0.5</v>
      </c>
      <c r="G612" s="2" t="s">
        <v>21</v>
      </c>
      <c r="H612" s="2"/>
      <c r="I612" s="2"/>
      <c r="J612" s="2"/>
      <c r="K612" s="2">
        <v>25</v>
      </c>
      <c r="L612" s="2">
        <v>9</v>
      </c>
      <c r="M612" s="10">
        <f>16*6</f>
        <v>96</v>
      </c>
      <c r="N612" s="10">
        <f t="shared" si="49"/>
        <v>48</v>
      </c>
      <c r="O612" s="2"/>
    </row>
    <row r="613" spans="1:15" ht="18.75">
      <c r="A613" s="18" t="s">
        <v>832</v>
      </c>
      <c r="B613" s="9" t="s">
        <v>134</v>
      </c>
      <c r="C613" s="2" t="s">
        <v>2057</v>
      </c>
      <c r="D613" s="2">
        <v>1</v>
      </c>
      <c r="E613" s="2" t="s">
        <v>75</v>
      </c>
      <c r="F613" s="1">
        <f t="shared" si="47"/>
        <v>0.75</v>
      </c>
      <c r="G613" s="2" t="s">
        <v>17</v>
      </c>
      <c r="H613" s="2"/>
      <c r="I613" s="2"/>
      <c r="J613" s="2"/>
      <c r="K613" s="2"/>
      <c r="L613" s="2"/>
      <c r="M613" s="10">
        <v>70</v>
      </c>
      <c r="N613" s="10">
        <f t="shared" si="49"/>
        <v>52.5</v>
      </c>
      <c r="O613" s="2"/>
    </row>
    <row r="614" spans="1:15" ht="18.75">
      <c r="A614" s="18" t="s">
        <v>832</v>
      </c>
      <c r="B614" s="27" t="s">
        <v>567</v>
      </c>
      <c r="C614" s="28" t="s">
        <v>2161</v>
      </c>
      <c r="D614" s="28">
        <v>1</v>
      </c>
      <c r="E614" s="28"/>
      <c r="F614" s="123">
        <f t="shared" si="47"/>
        <v>0.75</v>
      </c>
      <c r="G614" s="28" t="s">
        <v>17</v>
      </c>
      <c r="H614" s="28"/>
      <c r="I614" s="28"/>
      <c r="J614" s="28"/>
      <c r="K614" s="28"/>
      <c r="L614" s="28"/>
      <c r="M614" s="46"/>
      <c r="N614" s="46">
        <f t="shared" si="49"/>
        <v>0</v>
      </c>
      <c r="O614" s="28"/>
    </row>
    <row r="615" spans="1:15" ht="18.75">
      <c r="A615" s="18" t="s">
        <v>832</v>
      </c>
      <c r="B615" s="37" t="s">
        <v>826</v>
      </c>
      <c r="C615" s="2" t="s">
        <v>2161</v>
      </c>
      <c r="D615" s="2">
        <v>1</v>
      </c>
      <c r="E615" s="2" t="s">
        <v>842</v>
      </c>
      <c r="F615" s="1">
        <f t="shared" si="47"/>
        <v>0.25</v>
      </c>
      <c r="G615" s="2" t="s">
        <v>143</v>
      </c>
      <c r="H615" s="15"/>
      <c r="I615" s="15"/>
      <c r="J615" s="15"/>
      <c r="K615" s="15"/>
      <c r="L615" s="15"/>
      <c r="M615" s="44">
        <v>282</v>
      </c>
      <c r="N615" s="10">
        <f t="shared" si="49"/>
        <v>70.5</v>
      </c>
      <c r="O615" s="15"/>
    </row>
    <row r="616" spans="1:15" ht="18.75">
      <c r="A616" s="18" t="s">
        <v>832</v>
      </c>
      <c r="B616" s="29" t="s">
        <v>777</v>
      </c>
      <c r="C616" s="30" t="s">
        <v>2161</v>
      </c>
      <c r="D616" s="30">
        <v>2</v>
      </c>
      <c r="E616" s="30" t="s">
        <v>2338</v>
      </c>
      <c r="F616" s="124">
        <f t="shared" si="47"/>
        <v>0.5</v>
      </c>
      <c r="G616" s="30" t="s">
        <v>21</v>
      </c>
      <c r="H616" s="30"/>
      <c r="I616" s="30"/>
      <c r="J616" s="30"/>
      <c r="K616" s="30"/>
      <c r="L616" s="30"/>
      <c r="M616" s="31">
        <v>10</v>
      </c>
      <c r="N616" s="31">
        <f t="shared" si="49"/>
        <v>5</v>
      </c>
      <c r="O616" s="30"/>
    </row>
    <row r="617" spans="1:15" ht="18.75">
      <c r="A617" s="18" t="s">
        <v>832</v>
      </c>
      <c r="B617" s="9" t="s">
        <v>233</v>
      </c>
      <c r="C617" s="2" t="s">
        <v>2161</v>
      </c>
      <c r="D617" s="2">
        <v>10</v>
      </c>
      <c r="E617" s="2" t="s">
        <v>778</v>
      </c>
      <c r="F617" s="1">
        <f t="shared" si="47"/>
        <v>0.5</v>
      </c>
      <c r="G617" s="2" t="s">
        <v>21</v>
      </c>
      <c r="H617" s="2"/>
      <c r="I617" s="2"/>
      <c r="J617" s="2"/>
      <c r="K617" s="2"/>
      <c r="L617" s="2"/>
      <c r="M617" s="10">
        <f>9*18+49</f>
        <v>211</v>
      </c>
      <c r="N617" s="10">
        <f t="shared" si="49"/>
        <v>105.5</v>
      </c>
      <c r="O617" s="2"/>
    </row>
    <row r="618" spans="1:15" ht="18.75">
      <c r="A618" s="18" t="s">
        <v>832</v>
      </c>
      <c r="B618" s="9" t="s">
        <v>779</v>
      </c>
      <c r="C618" s="2" t="s">
        <v>2161</v>
      </c>
      <c r="D618" s="2">
        <v>2</v>
      </c>
      <c r="E618" s="2" t="s">
        <v>2331</v>
      </c>
      <c r="F618" s="1">
        <f t="shared" si="47"/>
        <v>0.5</v>
      </c>
      <c r="G618" s="2" t="s">
        <v>21</v>
      </c>
      <c r="H618" s="2"/>
      <c r="I618" s="2"/>
      <c r="J618" s="2"/>
      <c r="K618" s="2"/>
      <c r="L618" s="2"/>
      <c r="M618" s="10">
        <f>30*2</f>
        <v>60</v>
      </c>
      <c r="N618" s="10">
        <f t="shared" si="49"/>
        <v>30</v>
      </c>
      <c r="O618" s="2"/>
    </row>
    <row r="619" spans="1:15" ht="18.75">
      <c r="A619" s="18" t="s">
        <v>832</v>
      </c>
      <c r="B619" s="9" t="s">
        <v>780</v>
      </c>
      <c r="C619" s="2" t="s">
        <v>2161</v>
      </c>
      <c r="D619" s="2">
        <v>4</v>
      </c>
      <c r="E619" s="2" t="s">
        <v>781</v>
      </c>
      <c r="F619" s="1">
        <f t="shared" si="47"/>
        <v>0.75</v>
      </c>
      <c r="G619" s="2" t="s">
        <v>17</v>
      </c>
      <c r="H619" s="2" t="s">
        <v>304</v>
      </c>
      <c r="I619" s="2"/>
      <c r="J619" s="2"/>
      <c r="K619" s="2"/>
      <c r="L619" s="2"/>
      <c r="M619" s="10">
        <v>40</v>
      </c>
      <c r="N619" s="10">
        <f t="shared" si="49"/>
        <v>30</v>
      </c>
      <c r="O619" s="2"/>
    </row>
    <row r="620" spans="1:15" ht="18.75">
      <c r="A620" s="18" t="s">
        <v>832</v>
      </c>
      <c r="B620" s="9" t="s">
        <v>782</v>
      </c>
      <c r="C620" s="2" t="s">
        <v>2161</v>
      </c>
      <c r="D620" s="2">
        <v>4</v>
      </c>
      <c r="E620" s="2" t="s">
        <v>783</v>
      </c>
      <c r="F620" s="1">
        <f t="shared" si="47"/>
        <v>0.5</v>
      </c>
      <c r="G620" s="2" t="s">
        <v>21</v>
      </c>
      <c r="H620" s="2"/>
      <c r="I620" s="2"/>
      <c r="J620" s="2"/>
      <c r="K620" s="2"/>
      <c r="L620" s="2"/>
      <c r="M620" s="10">
        <f>8*4</f>
        <v>32</v>
      </c>
      <c r="N620" s="10">
        <f t="shared" si="49"/>
        <v>16</v>
      </c>
      <c r="O620" s="2"/>
    </row>
    <row r="621" spans="1:15" ht="18.75">
      <c r="A621" s="18" t="s">
        <v>832</v>
      </c>
      <c r="B621" s="9" t="s">
        <v>591</v>
      </c>
      <c r="C621" s="2" t="s">
        <v>2161</v>
      </c>
      <c r="D621" s="2">
        <v>17</v>
      </c>
      <c r="E621" s="2" t="s">
        <v>843</v>
      </c>
      <c r="F621" s="1">
        <f t="shared" si="47"/>
        <v>0.5</v>
      </c>
      <c r="G621" s="2" t="s">
        <v>21</v>
      </c>
      <c r="H621" s="2"/>
      <c r="I621" s="2"/>
      <c r="J621" s="2"/>
      <c r="K621" s="2"/>
      <c r="L621" s="2"/>
      <c r="M621" s="10">
        <f>8*16</f>
        <v>128</v>
      </c>
      <c r="N621" s="10">
        <f t="shared" si="49"/>
        <v>64</v>
      </c>
      <c r="O621" s="2"/>
    </row>
    <row r="622" spans="1:15" ht="18.75">
      <c r="A622" s="18" t="s">
        <v>832</v>
      </c>
      <c r="B622" s="9" t="s">
        <v>784</v>
      </c>
      <c r="C622" s="2" t="s">
        <v>2161</v>
      </c>
      <c r="D622" s="2">
        <v>3</v>
      </c>
      <c r="E622" s="2"/>
      <c r="F622" s="1">
        <f t="shared" si="47"/>
        <v>0.5</v>
      </c>
      <c r="G622" s="2" t="s">
        <v>21</v>
      </c>
      <c r="H622" s="2" t="s">
        <v>605</v>
      </c>
      <c r="I622" s="2"/>
      <c r="J622" s="2"/>
      <c r="K622" s="2"/>
      <c r="L622" s="2"/>
      <c r="M622" s="10">
        <v>15</v>
      </c>
      <c r="N622" s="10">
        <f t="shared" si="49"/>
        <v>7.5</v>
      </c>
      <c r="O622" s="2">
        <v>2015</v>
      </c>
    </row>
    <row r="623" spans="1:15" s="23" customFormat="1" ht="18.75">
      <c r="A623" s="20" t="s">
        <v>832</v>
      </c>
      <c r="B623" s="9" t="s">
        <v>719</v>
      </c>
      <c r="C623" s="21" t="s">
        <v>2161</v>
      </c>
      <c r="D623" s="21">
        <v>1</v>
      </c>
      <c r="E623" s="21" t="s">
        <v>720</v>
      </c>
      <c r="F623" s="1">
        <f t="shared" si="47"/>
        <v>0.75</v>
      </c>
      <c r="G623" s="21" t="s">
        <v>17</v>
      </c>
      <c r="H623" s="21"/>
      <c r="I623" s="21"/>
      <c r="J623" s="21"/>
      <c r="K623" s="21"/>
      <c r="L623" s="21"/>
      <c r="M623" s="22">
        <v>19.989999999999998</v>
      </c>
      <c r="N623" s="10">
        <f t="shared" si="49"/>
        <v>14.9925</v>
      </c>
      <c r="O623" s="21"/>
    </row>
    <row r="625" spans="1:15" ht="18" customHeight="1">
      <c r="A625" s="18" t="s">
        <v>849</v>
      </c>
      <c r="B625" s="9" t="s">
        <v>850</v>
      </c>
      <c r="C625" s="2" t="s">
        <v>2161</v>
      </c>
      <c r="D625" s="2">
        <v>2</v>
      </c>
      <c r="E625" s="2" t="s">
        <v>2110</v>
      </c>
      <c r="F625" s="1">
        <f t="shared" ref="F625:F658" si="50">IF(G625="fair",0.5,0)+IF(G625="good",0.75,0)+IF(G625="poor",0.25,0)+IF(G625="like new",0.9,0)+IF(G625="new",1,0)</f>
        <v>0.75</v>
      </c>
      <c r="G625" s="2" t="s">
        <v>16</v>
      </c>
      <c r="H625" s="2" t="s">
        <v>851</v>
      </c>
      <c r="I625" s="2"/>
      <c r="J625" s="2">
        <v>24491709</v>
      </c>
      <c r="K625" s="2">
        <v>76</v>
      </c>
      <c r="L625" s="2">
        <v>41</v>
      </c>
      <c r="M625" s="43">
        <f>200*2</f>
        <v>400</v>
      </c>
      <c r="N625" s="43">
        <f t="shared" ref="N625:N654" si="51">F625*M625</f>
        <v>300</v>
      </c>
      <c r="O625" s="2">
        <v>2017</v>
      </c>
    </row>
    <row r="626" spans="1:15" ht="18" customHeight="1">
      <c r="A626" s="18" t="s">
        <v>849</v>
      </c>
      <c r="B626" s="9" t="s">
        <v>578</v>
      </c>
      <c r="C626" s="2" t="s">
        <v>2161</v>
      </c>
      <c r="D626" s="2">
        <v>2</v>
      </c>
      <c r="E626" s="11" t="s">
        <v>852</v>
      </c>
      <c r="F626" s="1">
        <f t="shared" si="50"/>
        <v>0.5</v>
      </c>
      <c r="G626" s="2" t="s">
        <v>29</v>
      </c>
      <c r="H626" s="11" t="s">
        <v>853</v>
      </c>
      <c r="I626" s="2" t="s">
        <v>854</v>
      </c>
      <c r="J626" s="11"/>
      <c r="K626" s="11">
        <v>76</v>
      </c>
      <c r="L626" s="11">
        <v>41</v>
      </c>
      <c r="M626" s="43">
        <f>200*2</f>
        <v>400</v>
      </c>
      <c r="N626" s="43">
        <f t="shared" si="51"/>
        <v>200</v>
      </c>
      <c r="O626" s="2">
        <v>2017</v>
      </c>
    </row>
    <row r="627" spans="1:15" ht="18" customHeight="1">
      <c r="A627" s="18" t="s">
        <v>849</v>
      </c>
      <c r="B627" s="9" t="s">
        <v>855</v>
      </c>
      <c r="C627" s="2" t="s">
        <v>2161</v>
      </c>
      <c r="D627" s="2">
        <v>1</v>
      </c>
      <c r="E627" s="2" t="s">
        <v>856</v>
      </c>
      <c r="F627" s="1">
        <f t="shared" si="50"/>
        <v>0.5</v>
      </c>
      <c r="G627" s="2" t="s">
        <v>29</v>
      </c>
      <c r="H627" s="2"/>
      <c r="I627" s="2"/>
      <c r="J627" s="2"/>
      <c r="K627" s="2">
        <v>36</v>
      </c>
      <c r="L627" s="2">
        <v>36</v>
      </c>
      <c r="M627" s="43">
        <v>80</v>
      </c>
      <c r="N627" s="43">
        <f t="shared" si="51"/>
        <v>40</v>
      </c>
      <c r="O627" s="2">
        <v>2017</v>
      </c>
    </row>
    <row r="628" spans="1:15" ht="18" customHeight="1">
      <c r="A628" s="18" t="s">
        <v>849</v>
      </c>
      <c r="B628" s="9" t="s">
        <v>857</v>
      </c>
      <c r="C628" s="2" t="s">
        <v>2161</v>
      </c>
      <c r="D628" s="2">
        <v>1</v>
      </c>
      <c r="E628" s="2" t="s">
        <v>858</v>
      </c>
      <c r="F628" s="1">
        <f t="shared" si="50"/>
        <v>0.75</v>
      </c>
      <c r="G628" s="2" t="s">
        <v>16</v>
      </c>
      <c r="H628" s="2" t="s">
        <v>686</v>
      </c>
      <c r="I628" s="2" t="s">
        <v>859</v>
      </c>
      <c r="J628" s="2"/>
      <c r="K628" s="157" t="s">
        <v>860</v>
      </c>
      <c r="L628" s="158"/>
      <c r="M628" s="43">
        <v>238</v>
      </c>
      <c r="N628" s="43">
        <f t="shared" si="51"/>
        <v>178.5</v>
      </c>
      <c r="O628" s="2"/>
    </row>
    <row r="629" spans="1:15" ht="18" customHeight="1">
      <c r="A629" s="18" t="s">
        <v>849</v>
      </c>
      <c r="B629" s="9" t="s">
        <v>861</v>
      </c>
      <c r="C629" s="2" t="s">
        <v>2161</v>
      </c>
      <c r="D629" s="2">
        <v>1</v>
      </c>
      <c r="E629" s="2" t="s">
        <v>862</v>
      </c>
      <c r="F629" s="1">
        <f t="shared" si="50"/>
        <v>0.75</v>
      </c>
      <c r="G629" s="2" t="s">
        <v>16</v>
      </c>
      <c r="H629" s="2" t="s">
        <v>700</v>
      </c>
      <c r="I629" s="2" t="s">
        <v>863</v>
      </c>
      <c r="J629" s="2"/>
      <c r="K629" s="2">
        <v>12</v>
      </c>
      <c r="L629" s="2">
        <v>8</v>
      </c>
      <c r="M629" s="43">
        <v>90</v>
      </c>
      <c r="N629" s="43">
        <f t="shared" si="51"/>
        <v>67.5</v>
      </c>
      <c r="O629" s="2">
        <v>2015</v>
      </c>
    </row>
    <row r="630" spans="1:15" ht="18" customHeight="1">
      <c r="A630" s="18" t="s">
        <v>849</v>
      </c>
      <c r="B630" s="9" t="s">
        <v>864</v>
      </c>
      <c r="C630" s="2" t="s">
        <v>2161</v>
      </c>
      <c r="D630" s="2">
        <v>1</v>
      </c>
      <c r="E630" s="2" t="s">
        <v>865</v>
      </c>
      <c r="F630" s="1">
        <f t="shared" si="50"/>
        <v>0.5</v>
      </c>
      <c r="G630" s="2" t="s">
        <v>29</v>
      </c>
      <c r="H630" s="2"/>
      <c r="I630" s="2"/>
      <c r="J630" s="2"/>
      <c r="K630" s="2">
        <v>55</v>
      </c>
      <c r="L630" s="2">
        <v>16.5</v>
      </c>
      <c r="M630" s="43">
        <v>100</v>
      </c>
      <c r="N630" s="43">
        <f t="shared" si="51"/>
        <v>50</v>
      </c>
      <c r="O630" s="2">
        <v>2017</v>
      </c>
    </row>
    <row r="631" spans="1:15" ht="18" customHeight="1">
      <c r="A631" s="18" t="s">
        <v>849</v>
      </c>
      <c r="B631" s="9" t="s">
        <v>866</v>
      </c>
      <c r="C631" s="2" t="s">
        <v>2161</v>
      </c>
      <c r="D631" s="2">
        <v>1</v>
      </c>
      <c r="E631" s="2" t="s">
        <v>868</v>
      </c>
      <c r="F631" s="1">
        <f t="shared" si="50"/>
        <v>0.75</v>
      </c>
      <c r="G631" s="2" t="s">
        <v>16</v>
      </c>
      <c r="H631" s="2" t="s">
        <v>851</v>
      </c>
      <c r="I631" s="2"/>
      <c r="J631" s="2"/>
      <c r="K631" s="2" t="s">
        <v>869</v>
      </c>
      <c r="L631" s="2"/>
      <c r="M631" s="43">
        <v>100</v>
      </c>
      <c r="N631" s="43">
        <f t="shared" si="51"/>
        <v>75</v>
      </c>
      <c r="O631" s="2">
        <v>2017</v>
      </c>
    </row>
    <row r="632" spans="1:15" ht="18" customHeight="1">
      <c r="A632" s="18" t="s">
        <v>849</v>
      </c>
      <c r="B632" s="9" t="s">
        <v>731</v>
      </c>
      <c r="C632" s="2" t="s">
        <v>2161</v>
      </c>
      <c r="D632" s="2">
        <v>1</v>
      </c>
      <c r="E632" s="2" t="s">
        <v>870</v>
      </c>
      <c r="F632" s="1">
        <f t="shared" si="50"/>
        <v>0.75</v>
      </c>
      <c r="G632" s="2" t="s">
        <v>16</v>
      </c>
      <c r="H632" s="2" t="s">
        <v>871</v>
      </c>
      <c r="I632" s="2"/>
      <c r="J632" s="2"/>
      <c r="K632" s="2" t="s">
        <v>872</v>
      </c>
      <c r="L632" s="2"/>
      <c r="M632" s="43">
        <v>30</v>
      </c>
      <c r="N632" s="43">
        <f t="shared" si="51"/>
        <v>22.5</v>
      </c>
      <c r="O632" s="2">
        <v>2017</v>
      </c>
    </row>
    <row r="633" spans="1:15" ht="38.25" customHeight="1">
      <c r="A633" s="18" t="s">
        <v>849</v>
      </c>
      <c r="B633" s="9" t="s">
        <v>664</v>
      </c>
      <c r="C633" s="2" t="s">
        <v>2161</v>
      </c>
      <c r="D633" s="2">
        <v>5</v>
      </c>
      <c r="E633" s="2" t="s">
        <v>2111</v>
      </c>
      <c r="F633" s="1">
        <f t="shared" si="50"/>
        <v>0.75</v>
      </c>
      <c r="G633" s="2" t="s">
        <v>16</v>
      </c>
      <c r="H633" s="2"/>
      <c r="I633" s="2"/>
      <c r="J633" s="2"/>
      <c r="K633" s="2">
        <v>12</v>
      </c>
      <c r="L633" s="2">
        <v>36</v>
      </c>
      <c r="M633" s="43">
        <f>10*6</f>
        <v>60</v>
      </c>
      <c r="N633" s="43">
        <f t="shared" si="51"/>
        <v>45</v>
      </c>
      <c r="O633" s="2"/>
    </row>
    <row r="634" spans="1:15" ht="18" customHeight="1">
      <c r="A634" s="18" t="s">
        <v>849</v>
      </c>
      <c r="B634" s="9" t="s">
        <v>2054</v>
      </c>
      <c r="C634" s="2" t="s">
        <v>2161</v>
      </c>
      <c r="D634" s="2">
        <v>1</v>
      </c>
      <c r="E634" s="2" t="s">
        <v>873</v>
      </c>
      <c r="F634" s="1">
        <f t="shared" si="50"/>
        <v>0.75</v>
      </c>
      <c r="G634" s="2" t="s">
        <v>16</v>
      </c>
      <c r="H634" s="2"/>
      <c r="I634" s="2"/>
      <c r="J634" s="2"/>
      <c r="K634" s="2">
        <v>66</v>
      </c>
      <c r="L634" s="2">
        <v>12</v>
      </c>
      <c r="M634" s="43">
        <v>150</v>
      </c>
      <c r="N634" s="43">
        <f t="shared" si="51"/>
        <v>112.5</v>
      </c>
      <c r="O634" s="2"/>
    </row>
    <row r="635" spans="1:15" ht="18" customHeight="1">
      <c r="A635" s="18" t="s">
        <v>849</v>
      </c>
      <c r="B635" s="9" t="s">
        <v>874</v>
      </c>
      <c r="C635" s="2" t="s">
        <v>2161</v>
      </c>
      <c r="D635" s="2">
        <v>2</v>
      </c>
      <c r="E635" s="2" t="s">
        <v>2112</v>
      </c>
      <c r="F635" s="1">
        <f t="shared" si="50"/>
        <v>0.75</v>
      </c>
      <c r="G635" s="2" t="s">
        <v>16</v>
      </c>
      <c r="H635" s="2"/>
      <c r="I635" s="2"/>
      <c r="J635" s="2"/>
      <c r="K635" s="2">
        <v>29</v>
      </c>
      <c r="L635" s="2">
        <v>17</v>
      </c>
      <c r="M635" s="43">
        <f>37*2</f>
        <v>74</v>
      </c>
      <c r="N635" s="43">
        <f t="shared" si="51"/>
        <v>55.5</v>
      </c>
      <c r="O635" s="2">
        <v>2017</v>
      </c>
    </row>
    <row r="636" spans="1:15" ht="18" customHeight="1">
      <c r="A636" s="18" t="s">
        <v>849</v>
      </c>
      <c r="B636" s="9" t="s">
        <v>644</v>
      </c>
      <c r="C636" s="2" t="s">
        <v>2161</v>
      </c>
      <c r="D636" s="2">
        <v>1</v>
      </c>
      <c r="E636" s="2" t="s">
        <v>875</v>
      </c>
      <c r="F636" s="1">
        <f t="shared" si="50"/>
        <v>0.75</v>
      </c>
      <c r="G636" s="2" t="s">
        <v>16</v>
      </c>
      <c r="H636" s="2" t="s">
        <v>876</v>
      </c>
      <c r="I636" s="2"/>
      <c r="J636" s="2"/>
      <c r="K636" s="2">
        <v>32</v>
      </c>
      <c r="L636" s="2">
        <v>19</v>
      </c>
      <c r="M636" s="43">
        <v>158</v>
      </c>
      <c r="N636" s="43">
        <f t="shared" si="51"/>
        <v>118.5</v>
      </c>
      <c r="O636" s="2"/>
    </row>
    <row r="637" spans="1:15" ht="18" customHeight="1">
      <c r="A637" s="18" t="s">
        <v>849</v>
      </c>
      <c r="B637" s="9" t="s">
        <v>877</v>
      </c>
      <c r="C637" s="2" t="s">
        <v>2058</v>
      </c>
      <c r="D637" s="2">
        <v>1</v>
      </c>
      <c r="E637" s="2" t="s">
        <v>878</v>
      </c>
      <c r="F637" s="1">
        <f t="shared" si="50"/>
        <v>0.75</v>
      </c>
      <c r="G637" s="2" t="s">
        <v>16</v>
      </c>
      <c r="H637" s="2" t="s">
        <v>879</v>
      </c>
      <c r="I637" s="2" t="s">
        <v>880</v>
      </c>
      <c r="J637" s="2" t="s">
        <v>881</v>
      </c>
      <c r="K637" s="2">
        <v>34</v>
      </c>
      <c r="L637" s="2">
        <v>29.5</v>
      </c>
      <c r="M637" s="43">
        <v>500</v>
      </c>
      <c r="N637" s="43">
        <f t="shared" si="51"/>
        <v>375</v>
      </c>
      <c r="O637" s="2"/>
    </row>
    <row r="638" spans="1:15" ht="18" customHeight="1">
      <c r="A638" s="18" t="s">
        <v>849</v>
      </c>
      <c r="B638" s="9" t="s">
        <v>882</v>
      </c>
      <c r="C638" s="2" t="s">
        <v>2161</v>
      </c>
      <c r="D638" s="2">
        <v>1</v>
      </c>
      <c r="E638" s="2"/>
      <c r="F638" s="1">
        <f t="shared" si="50"/>
        <v>0.75</v>
      </c>
      <c r="G638" s="2" t="s">
        <v>16</v>
      </c>
      <c r="H638" s="2" t="s">
        <v>583</v>
      </c>
      <c r="I638" s="2"/>
      <c r="J638" s="2"/>
      <c r="K638" s="2"/>
      <c r="L638" s="2"/>
      <c r="M638" s="43">
        <v>30</v>
      </c>
      <c r="N638" s="43">
        <f t="shared" si="51"/>
        <v>22.5</v>
      </c>
      <c r="O638" s="2"/>
    </row>
    <row r="639" spans="1:15" ht="18" customHeight="1">
      <c r="A639" s="18" t="s">
        <v>849</v>
      </c>
      <c r="B639" s="9" t="s">
        <v>883</v>
      </c>
      <c r="C639" s="2" t="s">
        <v>2058</v>
      </c>
      <c r="D639" s="2">
        <v>1</v>
      </c>
      <c r="E639" s="2" t="s">
        <v>884</v>
      </c>
      <c r="F639" s="1">
        <f t="shared" si="50"/>
        <v>0.5</v>
      </c>
      <c r="G639" s="2" t="s">
        <v>29</v>
      </c>
      <c r="H639" s="2" t="s">
        <v>298</v>
      </c>
      <c r="I639" s="2" t="s">
        <v>885</v>
      </c>
      <c r="J639" s="2" t="s">
        <v>886</v>
      </c>
      <c r="K639" s="2">
        <v>12</v>
      </c>
      <c r="L639" s="2">
        <v>6</v>
      </c>
      <c r="M639" s="43">
        <v>16</v>
      </c>
      <c r="N639" s="43">
        <f t="shared" si="51"/>
        <v>8</v>
      </c>
      <c r="O639" s="2">
        <v>2017</v>
      </c>
    </row>
    <row r="640" spans="1:15" ht="39.75" customHeight="1">
      <c r="A640" s="18" t="s">
        <v>849</v>
      </c>
      <c r="B640" s="9" t="s">
        <v>887</v>
      </c>
      <c r="C640" s="2" t="s">
        <v>2058</v>
      </c>
      <c r="D640" s="2">
        <v>20</v>
      </c>
      <c r="E640" s="2" t="s">
        <v>2441</v>
      </c>
      <c r="F640" s="1">
        <f t="shared" si="50"/>
        <v>0.5</v>
      </c>
      <c r="G640" s="2" t="s">
        <v>29</v>
      </c>
      <c r="H640" s="2"/>
      <c r="I640" s="2"/>
      <c r="J640" s="2"/>
      <c r="K640" s="2"/>
      <c r="L640" s="2"/>
      <c r="M640" s="43">
        <v>50</v>
      </c>
      <c r="N640" s="43">
        <f t="shared" si="51"/>
        <v>25</v>
      </c>
      <c r="O640" s="2">
        <v>2017</v>
      </c>
    </row>
    <row r="641" spans="1:15" ht="18" customHeight="1">
      <c r="A641" s="18" t="s">
        <v>849</v>
      </c>
      <c r="B641" s="9" t="s">
        <v>888</v>
      </c>
      <c r="C641" s="2" t="s">
        <v>2058</v>
      </c>
      <c r="D641" s="2">
        <v>4</v>
      </c>
      <c r="E641" s="2" t="s">
        <v>889</v>
      </c>
      <c r="F641" s="1">
        <f t="shared" si="50"/>
        <v>0.75</v>
      </c>
      <c r="G641" s="2" t="s">
        <v>16</v>
      </c>
      <c r="H641" s="2" t="s">
        <v>890</v>
      </c>
      <c r="I641" s="2"/>
      <c r="J641" s="2"/>
      <c r="K641" s="2"/>
      <c r="L641" s="2"/>
      <c r="M641" s="43">
        <f>(3.67*4+1.65*4+4.8*4+1.25*4+3.33*4)</f>
        <v>58.800000000000004</v>
      </c>
      <c r="N641" s="43">
        <f t="shared" si="51"/>
        <v>44.1</v>
      </c>
      <c r="O641" s="2">
        <v>2017</v>
      </c>
    </row>
    <row r="642" spans="1:15" ht="18" customHeight="1">
      <c r="A642" s="18" t="s">
        <v>849</v>
      </c>
      <c r="B642" s="9" t="s">
        <v>891</v>
      </c>
      <c r="C642" s="2" t="s">
        <v>2058</v>
      </c>
      <c r="D642" s="2">
        <v>7</v>
      </c>
      <c r="E642" s="2" t="s">
        <v>2339</v>
      </c>
      <c r="F642" s="1">
        <f t="shared" si="50"/>
        <v>0.5</v>
      </c>
      <c r="G642" s="2" t="s">
        <v>29</v>
      </c>
      <c r="H642" s="2" t="s">
        <v>892</v>
      </c>
      <c r="I642" s="2"/>
      <c r="J642" s="2"/>
      <c r="K642" s="2"/>
      <c r="L642" s="2"/>
      <c r="M642" s="43">
        <v>67</v>
      </c>
      <c r="N642" s="43">
        <f t="shared" si="51"/>
        <v>33.5</v>
      </c>
      <c r="O642" s="2">
        <v>2017</v>
      </c>
    </row>
    <row r="643" spans="1:15" ht="32.25">
      <c r="A643" s="18" t="s">
        <v>849</v>
      </c>
      <c r="B643" s="9" t="s">
        <v>893</v>
      </c>
      <c r="C643" s="2" t="s">
        <v>2161</v>
      </c>
      <c r="D643" s="2">
        <v>1</v>
      </c>
      <c r="E643" s="2" t="s">
        <v>894</v>
      </c>
      <c r="F643" s="1">
        <f t="shared" si="50"/>
        <v>0.75</v>
      </c>
      <c r="G643" s="2" t="s">
        <v>16</v>
      </c>
      <c r="H643" s="2" t="s">
        <v>895</v>
      </c>
      <c r="I643" s="2" t="s">
        <v>896</v>
      </c>
      <c r="J643" s="2"/>
      <c r="K643" s="2"/>
      <c r="L643" s="2"/>
      <c r="M643" s="43">
        <v>466</v>
      </c>
      <c r="N643" s="43">
        <f t="shared" si="51"/>
        <v>349.5</v>
      </c>
      <c r="O643" s="2">
        <v>2016</v>
      </c>
    </row>
    <row r="644" spans="1:15" ht="18.75">
      <c r="A644" s="18" t="s">
        <v>849</v>
      </c>
      <c r="B644" s="9" t="s">
        <v>897</v>
      </c>
      <c r="C644" s="2" t="s">
        <v>2161</v>
      </c>
      <c r="D644" s="2">
        <v>2</v>
      </c>
      <c r="E644" s="2" t="s">
        <v>898</v>
      </c>
      <c r="F644" s="1">
        <f t="shared" si="50"/>
        <v>0.75</v>
      </c>
      <c r="G644" s="2" t="s">
        <v>16</v>
      </c>
      <c r="H644" s="2"/>
      <c r="I644" s="2"/>
      <c r="J644" s="26">
        <v>638600036053</v>
      </c>
      <c r="K644" s="2">
        <v>25</v>
      </c>
      <c r="L644" s="2">
        <v>18</v>
      </c>
      <c r="M644" s="43">
        <f>50*2</f>
        <v>100</v>
      </c>
      <c r="N644" s="43">
        <f t="shared" si="51"/>
        <v>75</v>
      </c>
      <c r="O644" s="2"/>
    </row>
    <row r="645" spans="1:15" ht="18.75">
      <c r="A645" s="18" t="s">
        <v>849</v>
      </c>
      <c r="B645" s="9" t="s">
        <v>899</v>
      </c>
      <c r="C645" s="2" t="s">
        <v>2161</v>
      </c>
      <c r="D645" s="2">
        <v>2</v>
      </c>
      <c r="E645" s="2" t="s">
        <v>2113</v>
      </c>
      <c r="F645" s="1">
        <f t="shared" si="50"/>
        <v>0.5</v>
      </c>
      <c r="G645" s="2" t="s">
        <v>29</v>
      </c>
      <c r="H645" s="2"/>
      <c r="I645" s="2"/>
      <c r="J645" s="26"/>
      <c r="K645" s="2"/>
      <c r="L645" s="2"/>
      <c r="M645" s="43">
        <f>50*2</f>
        <v>100</v>
      </c>
      <c r="N645" s="43">
        <f t="shared" si="51"/>
        <v>50</v>
      </c>
      <c r="O645" s="2"/>
    </row>
    <row r="646" spans="1:15" ht="18.75">
      <c r="A646" s="18" t="s">
        <v>849</v>
      </c>
      <c r="B646" s="9" t="s">
        <v>900</v>
      </c>
      <c r="C646" s="2" t="s">
        <v>2161</v>
      </c>
      <c r="D646" s="2">
        <v>2</v>
      </c>
      <c r="E646" s="2" t="s">
        <v>901</v>
      </c>
      <c r="F646" s="1">
        <f t="shared" si="50"/>
        <v>0.5</v>
      </c>
      <c r="G646" s="2" t="s">
        <v>29</v>
      </c>
      <c r="H646" s="2" t="s">
        <v>902</v>
      </c>
      <c r="I646" s="2"/>
      <c r="J646" s="2"/>
      <c r="K646" s="2"/>
      <c r="L646" s="2"/>
      <c r="M646" s="43">
        <f>48+15</f>
        <v>63</v>
      </c>
      <c r="N646" s="43">
        <f t="shared" si="51"/>
        <v>31.5</v>
      </c>
      <c r="O646" s="2">
        <v>2016</v>
      </c>
    </row>
    <row r="647" spans="1:15" ht="18.75">
      <c r="A647" s="18" t="s">
        <v>849</v>
      </c>
      <c r="B647" s="9" t="s">
        <v>1321</v>
      </c>
      <c r="C647" s="2" t="s">
        <v>2161</v>
      </c>
      <c r="D647" s="2">
        <v>3</v>
      </c>
      <c r="E647" s="2" t="s">
        <v>2422</v>
      </c>
      <c r="F647" s="1">
        <f t="shared" si="50"/>
        <v>0.75</v>
      </c>
      <c r="G647" s="2" t="s">
        <v>16</v>
      </c>
      <c r="H647" s="2"/>
      <c r="I647" s="2"/>
      <c r="J647" s="2"/>
      <c r="K647" s="2"/>
      <c r="L647" s="2"/>
      <c r="M647" s="43">
        <v>26</v>
      </c>
      <c r="N647" s="43">
        <f t="shared" si="51"/>
        <v>19.5</v>
      </c>
      <c r="O647" s="2"/>
    </row>
    <row r="648" spans="1:15" ht="18.75">
      <c r="A648" s="18" t="s">
        <v>849</v>
      </c>
      <c r="B648" s="9" t="s">
        <v>660</v>
      </c>
      <c r="C648" s="2" t="s">
        <v>2161</v>
      </c>
      <c r="D648" s="2">
        <v>1</v>
      </c>
      <c r="E648" s="2" t="s">
        <v>903</v>
      </c>
      <c r="F648" s="1">
        <f t="shared" si="50"/>
        <v>0.75</v>
      </c>
      <c r="G648" s="2" t="s">
        <v>16</v>
      </c>
      <c r="H648" s="2" t="s">
        <v>904</v>
      </c>
      <c r="I648" s="2"/>
      <c r="J648" s="2"/>
      <c r="K648" s="2">
        <v>39</v>
      </c>
      <c r="L648" s="2">
        <v>18</v>
      </c>
      <c r="M648" s="43">
        <v>150</v>
      </c>
      <c r="N648" s="43">
        <f t="shared" si="51"/>
        <v>112.5</v>
      </c>
      <c r="O648" s="2">
        <v>2016</v>
      </c>
    </row>
    <row r="649" spans="1:15" ht="18.75">
      <c r="A649" s="18" t="s">
        <v>849</v>
      </c>
      <c r="B649" s="9" t="s">
        <v>134</v>
      </c>
      <c r="C649" s="2" t="s">
        <v>2057</v>
      </c>
      <c r="D649" s="2">
        <v>1</v>
      </c>
      <c r="E649" s="2"/>
      <c r="F649" s="1">
        <f t="shared" si="50"/>
        <v>0.75</v>
      </c>
      <c r="G649" s="2" t="s">
        <v>16</v>
      </c>
      <c r="H649" s="2" t="s">
        <v>75</v>
      </c>
      <c r="I649" s="2"/>
      <c r="J649" s="2"/>
      <c r="K649" s="2"/>
      <c r="L649" s="2"/>
      <c r="M649" s="10">
        <v>70</v>
      </c>
      <c r="N649" s="43">
        <f t="shared" si="51"/>
        <v>52.5</v>
      </c>
      <c r="O649" s="2"/>
    </row>
    <row r="650" spans="1:15" ht="18.75">
      <c r="A650" s="18" t="s">
        <v>849</v>
      </c>
      <c r="B650" s="9" t="s">
        <v>905</v>
      </c>
      <c r="C650" s="2" t="s">
        <v>2161</v>
      </c>
      <c r="D650" s="2">
        <v>5</v>
      </c>
      <c r="E650" s="2" t="s">
        <v>2472</v>
      </c>
      <c r="F650" s="1">
        <f t="shared" si="50"/>
        <v>0.5</v>
      </c>
      <c r="G650" s="2" t="s">
        <v>29</v>
      </c>
      <c r="H650" s="2"/>
      <c r="I650" s="2"/>
      <c r="J650" s="2"/>
      <c r="K650" s="2"/>
      <c r="L650" s="2"/>
      <c r="M650" s="155">
        <f>5*5</f>
        <v>25</v>
      </c>
      <c r="N650" s="10">
        <f t="shared" si="51"/>
        <v>12.5</v>
      </c>
      <c r="O650" s="2"/>
    </row>
    <row r="651" spans="1:15" ht="62.25" customHeight="1">
      <c r="A651" s="18" t="s">
        <v>849</v>
      </c>
      <c r="B651" s="9" t="s">
        <v>81</v>
      </c>
      <c r="C651" s="2" t="s">
        <v>2161</v>
      </c>
      <c r="D651" s="2">
        <v>14</v>
      </c>
      <c r="E651" s="2" t="s">
        <v>2426</v>
      </c>
      <c r="F651" s="1">
        <f t="shared" si="50"/>
        <v>0.5</v>
      </c>
      <c r="G651" s="2" t="s">
        <v>29</v>
      </c>
      <c r="H651" s="2"/>
      <c r="I651" s="2"/>
      <c r="J651" s="2"/>
      <c r="K651" s="2"/>
      <c r="L651" s="2"/>
      <c r="M651" s="44">
        <f>5*5+12*6+20</f>
        <v>117</v>
      </c>
      <c r="N651" s="10">
        <f t="shared" si="51"/>
        <v>58.5</v>
      </c>
      <c r="O651" s="2"/>
    </row>
    <row r="652" spans="1:15" ht="18.75">
      <c r="A652" s="18" t="s">
        <v>849</v>
      </c>
      <c r="B652" s="9" t="s">
        <v>906</v>
      </c>
      <c r="C652" s="2" t="s">
        <v>2161</v>
      </c>
      <c r="D652" s="2"/>
      <c r="E652" s="2"/>
      <c r="F652" s="1">
        <f t="shared" si="50"/>
        <v>0.5</v>
      </c>
      <c r="G652" s="2" t="s">
        <v>29</v>
      </c>
      <c r="H652" s="2"/>
      <c r="I652" s="2"/>
      <c r="J652" s="2"/>
      <c r="K652" s="2"/>
      <c r="L652" s="2"/>
      <c r="M652" s="44"/>
      <c r="N652" s="10">
        <f t="shared" si="51"/>
        <v>0</v>
      </c>
      <c r="O652" s="2"/>
    </row>
    <row r="653" spans="1:15" ht="18.75">
      <c r="A653" s="18" t="s">
        <v>849</v>
      </c>
      <c r="B653" s="9" t="s">
        <v>462</v>
      </c>
      <c r="C653" s="2" t="s">
        <v>2161</v>
      </c>
      <c r="D653" s="2">
        <v>3</v>
      </c>
      <c r="E653" s="2"/>
      <c r="F653" s="1">
        <f t="shared" si="50"/>
        <v>0.5</v>
      </c>
      <c r="G653" s="2" t="s">
        <v>29</v>
      </c>
      <c r="H653" s="2"/>
      <c r="I653" s="2"/>
      <c r="J653" s="2"/>
      <c r="K653" s="2"/>
      <c r="L653" s="2"/>
      <c r="M653" s="44">
        <f>18*3</f>
        <v>54</v>
      </c>
      <c r="N653" s="10">
        <f t="shared" si="51"/>
        <v>27</v>
      </c>
      <c r="O653" s="2"/>
    </row>
    <row r="654" spans="1:15" ht="18.75">
      <c r="A654" s="18" t="s">
        <v>849</v>
      </c>
      <c r="B654" s="9" t="s">
        <v>907</v>
      </c>
      <c r="C654" s="2" t="s">
        <v>2161</v>
      </c>
      <c r="D654" s="2">
        <v>1</v>
      </c>
      <c r="E654" s="2"/>
      <c r="F654" s="1">
        <f t="shared" si="50"/>
        <v>0.5</v>
      </c>
      <c r="G654" s="2" t="s">
        <v>29</v>
      </c>
      <c r="H654" s="2"/>
      <c r="I654" s="2"/>
      <c r="J654" s="2"/>
      <c r="K654" s="2"/>
      <c r="L654" s="2"/>
      <c r="M654" s="10">
        <v>30</v>
      </c>
      <c r="N654" s="10">
        <f t="shared" si="51"/>
        <v>15</v>
      </c>
      <c r="O654" s="2"/>
    </row>
    <row r="655" spans="1:15" ht="18.75">
      <c r="A655" s="18" t="s">
        <v>849</v>
      </c>
      <c r="B655" s="9" t="s">
        <v>908</v>
      </c>
      <c r="C655" s="2" t="s">
        <v>2161</v>
      </c>
      <c r="D655" s="11">
        <v>1</v>
      </c>
      <c r="E655" s="2" t="s">
        <v>718</v>
      </c>
      <c r="F655" s="1">
        <f t="shared" si="50"/>
        <v>0.5</v>
      </c>
      <c r="G655" s="2" t="s">
        <v>29</v>
      </c>
      <c r="H655" s="2"/>
      <c r="I655" s="2"/>
      <c r="J655" s="2"/>
      <c r="K655" s="2"/>
      <c r="L655" s="2"/>
      <c r="M655" s="10">
        <v>43</v>
      </c>
      <c r="N655" s="10">
        <f>F650*M655</f>
        <v>21.5</v>
      </c>
      <c r="O655" s="2"/>
    </row>
    <row r="656" spans="1:15" ht="18.75">
      <c r="A656" s="18" t="s">
        <v>849</v>
      </c>
      <c r="B656" s="9" t="s">
        <v>909</v>
      </c>
      <c r="C656" s="2" t="s">
        <v>2161</v>
      </c>
      <c r="D656" s="2">
        <v>1</v>
      </c>
      <c r="E656" s="2" t="s">
        <v>910</v>
      </c>
      <c r="F656" s="1">
        <f t="shared" si="50"/>
        <v>0.75</v>
      </c>
      <c r="G656" s="2" t="s">
        <v>16</v>
      </c>
      <c r="H656" s="2"/>
      <c r="I656" s="2"/>
      <c r="J656" s="2"/>
      <c r="K656" s="2"/>
      <c r="L656" s="2"/>
      <c r="M656" s="10">
        <v>43</v>
      </c>
      <c r="N656" s="10">
        <f>F651*M656</f>
        <v>21.5</v>
      </c>
      <c r="O656" s="2">
        <v>2017</v>
      </c>
    </row>
    <row r="657" spans="1:15" ht="18.75">
      <c r="A657" s="18" t="s">
        <v>849</v>
      </c>
      <c r="B657" s="9" t="s">
        <v>911</v>
      </c>
      <c r="C657" s="2" t="s">
        <v>2161</v>
      </c>
      <c r="D657" s="2">
        <v>1</v>
      </c>
      <c r="E657" s="2"/>
      <c r="F657" s="1">
        <f t="shared" si="50"/>
        <v>0.5</v>
      </c>
      <c r="G657" s="2" t="s">
        <v>29</v>
      </c>
      <c r="H657" s="2"/>
      <c r="I657" s="2"/>
      <c r="J657" s="2"/>
      <c r="K657" s="2"/>
      <c r="L657" s="2"/>
      <c r="M657" s="10">
        <v>10</v>
      </c>
      <c r="N657" s="10">
        <f>F657*M657</f>
        <v>5</v>
      </c>
      <c r="O657" s="2"/>
    </row>
    <row r="658" spans="1:15" ht="18.75">
      <c r="A658" s="18" t="s">
        <v>849</v>
      </c>
      <c r="B658" s="9" t="s">
        <v>912</v>
      </c>
      <c r="C658" s="2" t="s">
        <v>2161</v>
      </c>
      <c r="D658" s="2">
        <v>2</v>
      </c>
      <c r="E658" s="2" t="s">
        <v>913</v>
      </c>
      <c r="F658" s="1">
        <f t="shared" si="50"/>
        <v>0.5</v>
      </c>
      <c r="G658" s="2" t="s">
        <v>29</v>
      </c>
      <c r="H658" s="2"/>
      <c r="I658" s="2"/>
      <c r="J658" s="2"/>
      <c r="K658" s="2"/>
      <c r="L658" s="2"/>
      <c r="M658" s="10">
        <v>20</v>
      </c>
      <c r="N658" s="10">
        <f>F653*M658</f>
        <v>10</v>
      </c>
      <c r="O658" s="2"/>
    </row>
    <row r="660" spans="1:15" ht="18" customHeight="1">
      <c r="A660" s="18" t="s">
        <v>928</v>
      </c>
      <c r="B660" s="9" t="s">
        <v>929</v>
      </c>
      <c r="C660" s="2" t="s">
        <v>2161</v>
      </c>
      <c r="D660" s="2">
        <v>17</v>
      </c>
      <c r="E660" s="2" t="s">
        <v>2340</v>
      </c>
      <c r="F660" s="1">
        <f t="shared" ref="F660:F677" si="52">IF(G660="fair",0.5,0)+IF(G660="good",0.75,0)+IF(G660="poor",0.25,0)+IF(G660="like new",0.9,0)+IF(G660="new",1,0)</f>
        <v>0.75</v>
      </c>
      <c r="G660" s="2" t="s">
        <v>17</v>
      </c>
      <c r="H660" s="2"/>
      <c r="I660" s="2"/>
      <c r="J660" s="2"/>
      <c r="K660" s="2">
        <v>8</v>
      </c>
      <c r="L660" s="2">
        <v>3</v>
      </c>
      <c r="M660" s="10">
        <f>220*17</f>
        <v>3740</v>
      </c>
      <c r="N660" s="10">
        <f t="shared" ref="N660:N682" si="53">F660*M660</f>
        <v>2805</v>
      </c>
      <c r="O660" s="2"/>
    </row>
    <row r="661" spans="1:15" ht="18" customHeight="1">
      <c r="A661" s="18" t="s">
        <v>928</v>
      </c>
      <c r="B661" s="9" t="s">
        <v>930</v>
      </c>
      <c r="C661" s="2" t="s">
        <v>2161</v>
      </c>
      <c r="D661" s="2">
        <v>1</v>
      </c>
      <c r="E661" s="2" t="s">
        <v>931</v>
      </c>
      <c r="F661" s="1">
        <f t="shared" si="52"/>
        <v>0.5</v>
      </c>
      <c r="G661" s="2" t="s">
        <v>21</v>
      </c>
      <c r="H661" s="2"/>
      <c r="I661" s="2"/>
      <c r="J661" s="2"/>
      <c r="K661" s="2">
        <v>5</v>
      </c>
      <c r="L661" s="2">
        <v>2.5</v>
      </c>
      <c r="M661" s="10">
        <v>128</v>
      </c>
      <c r="N661" s="10">
        <f t="shared" si="53"/>
        <v>64</v>
      </c>
      <c r="O661" s="2"/>
    </row>
    <row r="662" spans="1:15" ht="18" customHeight="1">
      <c r="A662" s="18" t="s">
        <v>928</v>
      </c>
      <c r="B662" s="9" t="s">
        <v>932</v>
      </c>
      <c r="C662" s="2" t="s">
        <v>2161</v>
      </c>
      <c r="D662" s="2">
        <v>82</v>
      </c>
      <c r="E662" s="2" t="s">
        <v>2342</v>
      </c>
      <c r="F662" s="1">
        <f t="shared" si="52"/>
        <v>0.5</v>
      </c>
      <c r="G662" s="2" t="s">
        <v>21</v>
      </c>
      <c r="H662" s="2"/>
      <c r="I662" s="2"/>
      <c r="J662" s="2"/>
      <c r="K662" s="2">
        <v>4</v>
      </c>
      <c r="L662" s="2">
        <v>1</v>
      </c>
      <c r="M662" s="10">
        <f>32*82</f>
        <v>2624</v>
      </c>
      <c r="N662" s="10">
        <f t="shared" si="53"/>
        <v>1312</v>
      </c>
      <c r="O662" s="2">
        <v>2001</v>
      </c>
    </row>
    <row r="663" spans="1:15" ht="18" customHeight="1">
      <c r="A663" s="18" t="s">
        <v>928</v>
      </c>
      <c r="B663" s="9" t="s">
        <v>933</v>
      </c>
      <c r="C663" s="2" t="s">
        <v>2161</v>
      </c>
      <c r="D663" s="2">
        <v>75</v>
      </c>
      <c r="E663" s="2" t="s">
        <v>2341</v>
      </c>
      <c r="F663" s="1">
        <f t="shared" si="52"/>
        <v>0.75</v>
      </c>
      <c r="G663" s="2" t="s">
        <v>17</v>
      </c>
      <c r="H663" s="2"/>
      <c r="I663" s="2"/>
      <c r="J663" s="2"/>
      <c r="K663" s="2">
        <v>4</v>
      </c>
      <c r="L663" s="2">
        <v>1</v>
      </c>
      <c r="M663" s="10">
        <f>34*75</f>
        <v>2550</v>
      </c>
      <c r="N663" s="10">
        <f t="shared" si="53"/>
        <v>1912.5</v>
      </c>
      <c r="O663" s="2">
        <v>2014</v>
      </c>
    </row>
    <row r="664" spans="1:15" ht="18" customHeight="1">
      <c r="A664" s="18" t="s">
        <v>928</v>
      </c>
      <c r="B664" s="9" t="s">
        <v>60</v>
      </c>
      <c r="C664" s="2" t="s">
        <v>2161</v>
      </c>
      <c r="D664" s="2">
        <v>1</v>
      </c>
      <c r="E664" s="2" t="s">
        <v>934</v>
      </c>
      <c r="F664" s="1">
        <f t="shared" si="52"/>
        <v>0.75</v>
      </c>
      <c r="G664" s="2" t="s">
        <v>17</v>
      </c>
      <c r="H664" s="2" t="s">
        <v>286</v>
      </c>
      <c r="I664" s="2"/>
      <c r="J664" s="2"/>
      <c r="K664" s="2">
        <v>4</v>
      </c>
      <c r="L664" s="2">
        <v>1</v>
      </c>
      <c r="M664" s="10">
        <v>200</v>
      </c>
      <c r="N664" s="10">
        <f t="shared" si="53"/>
        <v>150</v>
      </c>
      <c r="O664" s="2">
        <v>2017</v>
      </c>
    </row>
    <row r="665" spans="1:15" ht="18" customHeight="1">
      <c r="A665" s="18" t="s">
        <v>928</v>
      </c>
      <c r="B665" s="9" t="s">
        <v>935</v>
      </c>
      <c r="C665" s="2" t="s">
        <v>2161</v>
      </c>
      <c r="D665" s="2">
        <v>4</v>
      </c>
      <c r="E665" s="2" t="s">
        <v>936</v>
      </c>
      <c r="F665" s="1">
        <f t="shared" si="52"/>
        <v>0.75</v>
      </c>
      <c r="G665" s="2" t="s">
        <v>17</v>
      </c>
      <c r="H665" s="2"/>
      <c r="I665" s="2"/>
      <c r="J665" s="2"/>
      <c r="K665" s="2"/>
      <c r="L665" s="2"/>
      <c r="M665" s="10">
        <f>229*2</f>
        <v>458</v>
      </c>
      <c r="N665" s="10">
        <f t="shared" si="53"/>
        <v>343.5</v>
      </c>
      <c r="O665" s="2">
        <v>2012</v>
      </c>
    </row>
    <row r="666" spans="1:15" ht="18" customHeight="1">
      <c r="A666" s="18" t="s">
        <v>928</v>
      </c>
      <c r="B666" s="9" t="s">
        <v>937</v>
      </c>
      <c r="C666" s="2" t="s">
        <v>2161</v>
      </c>
      <c r="D666" s="2">
        <v>1</v>
      </c>
      <c r="E666" s="2" t="s">
        <v>938</v>
      </c>
      <c r="F666" s="1">
        <f t="shared" si="52"/>
        <v>0.25</v>
      </c>
      <c r="G666" s="2" t="s">
        <v>143</v>
      </c>
      <c r="H666" s="2"/>
      <c r="I666" s="2"/>
      <c r="J666" s="2"/>
      <c r="K666" s="2">
        <v>5</v>
      </c>
      <c r="L666" s="2">
        <v>3</v>
      </c>
      <c r="M666" s="10">
        <v>60</v>
      </c>
      <c r="N666" s="10">
        <f t="shared" si="53"/>
        <v>15</v>
      </c>
      <c r="O666" s="2"/>
    </row>
    <row r="667" spans="1:15" ht="18" customHeight="1">
      <c r="A667" s="18" t="s">
        <v>928</v>
      </c>
      <c r="B667" s="9" t="s">
        <v>939</v>
      </c>
      <c r="C667" s="2" t="s">
        <v>2161</v>
      </c>
      <c r="D667" s="2">
        <v>18</v>
      </c>
      <c r="E667" s="2" t="s">
        <v>2343</v>
      </c>
      <c r="F667" s="1">
        <f t="shared" si="52"/>
        <v>0.75</v>
      </c>
      <c r="G667" s="2" t="s">
        <v>17</v>
      </c>
      <c r="H667" s="2"/>
      <c r="I667" s="2"/>
      <c r="J667" s="2"/>
      <c r="K667" s="157" t="s">
        <v>940</v>
      </c>
      <c r="L667" s="158"/>
      <c r="M667" s="10">
        <f>40*18</f>
        <v>720</v>
      </c>
      <c r="N667" s="10">
        <f t="shared" si="53"/>
        <v>540</v>
      </c>
      <c r="O667" s="2"/>
    </row>
    <row r="668" spans="1:15" ht="18" customHeight="1">
      <c r="A668" s="18" t="s">
        <v>928</v>
      </c>
      <c r="B668" s="9" t="s">
        <v>941</v>
      </c>
      <c r="C668" s="2" t="s">
        <v>2161</v>
      </c>
      <c r="D668" s="2">
        <v>1</v>
      </c>
      <c r="E668" s="2" t="s">
        <v>942</v>
      </c>
      <c r="F668" s="1">
        <f t="shared" si="52"/>
        <v>0.25</v>
      </c>
      <c r="G668" s="2" t="s">
        <v>143</v>
      </c>
      <c r="H668" s="2" t="s">
        <v>943</v>
      </c>
      <c r="I668" s="2"/>
      <c r="J668" s="2"/>
      <c r="K668" s="2">
        <v>4</v>
      </c>
      <c r="L668" s="2">
        <v>2</v>
      </c>
      <c r="M668" s="10">
        <v>50</v>
      </c>
      <c r="N668" s="10">
        <f t="shared" si="53"/>
        <v>12.5</v>
      </c>
      <c r="O668" s="2"/>
    </row>
    <row r="669" spans="1:15" ht="18" customHeight="1">
      <c r="A669" s="18" t="s">
        <v>928</v>
      </c>
      <c r="B669" s="9" t="s">
        <v>198</v>
      </c>
      <c r="C669" s="2" t="s">
        <v>2161</v>
      </c>
      <c r="D669" s="2">
        <v>1</v>
      </c>
      <c r="E669" s="2" t="s">
        <v>944</v>
      </c>
      <c r="F669" s="1">
        <f t="shared" si="52"/>
        <v>0.75</v>
      </c>
      <c r="G669" s="2" t="s">
        <v>17</v>
      </c>
      <c r="H669" s="2"/>
      <c r="I669" s="2"/>
      <c r="J669" s="2"/>
      <c r="K669" s="2" t="s">
        <v>945</v>
      </c>
      <c r="L669" s="2"/>
      <c r="M669" s="10">
        <v>86</v>
      </c>
      <c r="N669" s="10">
        <f t="shared" si="53"/>
        <v>64.5</v>
      </c>
      <c r="O669" s="2"/>
    </row>
    <row r="670" spans="1:15" ht="18.75">
      <c r="A670" s="18" t="s">
        <v>928</v>
      </c>
      <c r="B670" s="9" t="s">
        <v>946</v>
      </c>
      <c r="C670" s="2" t="s">
        <v>2058</v>
      </c>
      <c r="D670" s="2">
        <v>1</v>
      </c>
      <c r="E670" s="2" t="s">
        <v>947</v>
      </c>
      <c r="F670" s="1">
        <f t="shared" si="52"/>
        <v>0.75</v>
      </c>
      <c r="G670" s="2" t="s">
        <v>17</v>
      </c>
      <c r="H670" s="2" t="s">
        <v>300</v>
      </c>
      <c r="I670" s="2" t="s">
        <v>301</v>
      </c>
      <c r="J670" s="2"/>
      <c r="K670" s="2"/>
      <c r="L670" s="2"/>
      <c r="M670" s="10">
        <v>307</v>
      </c>
      <c r="N670" s="10">
        <f t="shared" si="53"/>
        <v>230.25</v>
      </c>
      <c r="O670" s="2">
        <v>2011</v>
      </c>
    </row>
    <row r="671" spans="1:15" ht="18.75">
      <c r="A671" s="18" t="s">
        <v>928</v>
      </c>
      <c r="B671" s="9" t="s">
        <v>132</v>
      </c>
      <c r="C671" s="2" t="s">
        <v>2161</v>
      </c>
      <c r="D671" s="2">
        <v>5</v>
      </c>
      <c r="E671" s="2" t="s">
        <v>948</v>
      </c>
      <c r="F671" s="1">
        <f t="shared" si="52"/>
        <v>0.75</v>
      </c>
      <c r="G671" s="2" t="s">
        <v>17</v>
      </c>
      <c r="H671" s="2" t="s">
        <v>304</v>
      </c>
      <c r="I671" s="2"/>
      <c r="J671" s="2"/>
      <c r="K671" s="2"/>
      <c r="L671" s="2"/>
      <c r="M671" s="10">
        <f>15*3+35*2</f>
        <v>115</v>
      </c>
      <c r="N671" s="10">
        <f t="shared" si="53"/>
        <v>86.25</v>
      </c>
      <c r="O671" s="2"/>
    </row>
    <row r="672" spans="1:15" ht="18.75">
      <c r="A672" s="18" t="s">
        <v>928</v>
      </c>
      <c r="B672" s="9" t="s">
        <v>949</v>
      </c>
      <c r="C672" s="2" t="s">
        <v>2057</v>
      </c>
      <c r="D672" s="2">
        <v>1</v>
      </c>
      <c r="E672" s="2" t="s">
        <v>75</v>
      </c>
      <c r="F672" s="1">
        <f t="shared" si="52"/>
        <v>0.75</v>
      </c>
      <c r="G672" s="2" t="s">
        <v>17</v>
      </c>
      <c r="H672" s="2"/>
      <c r="I672" s="2"/>
      <c r="J672" s="2"/>
      <c r="K672" s="2"/>
      <c r="L672" s="2"/>
      <c r="M672" s="10">
        <v>70</v>
      </c>
      <c r="N672" s="10">
        <f t="shared" si="53"/>
        <v>52.5</v>
      </c>
      <c r="O672" s="2"/>
    </row>
    <row r="673" spans="1:15" ht="18.75">
      <c r="A673" s="18" t="s">
        <v>928</v>
      </c>
      <c r="B673" s="9" t="s">
        <v>462</v>
      </c>
      <c r="C673" s="2" t="s">
        <v>2161</v>
      </c>
      <c r="D673" s="2">
        <v>4</v>
      </c>
      <c r="E673" s="2" t="s">
        <v>951</v>
      </c>
      <c r="F673" s="1">
        <f t="shared" si="52"/>
        <v>0.5</v>
      </c>
      <c r="G673" s="2" t="s">
        <v>21</v>
      </c>
      <c r="H673" s="15"/>
      <c r="I673" s="15"/>
      <c r="J673" s="15"/>
      <c r="K673" s="2"/>
      <c r="L673" s="2"/>
      <c r="M673" s="10">
        <f>18*2+40*2</f>
        <v>116</v>
      </c>
      <c r="N673" s="10">
        <f t="shared" si="53"/>
        <v>58</v>
      </c>
      <c r="O673" s="15"/>
    </row>
    <row r="674" spans="1:15" ht="18.75">
      <c r="A674" s="18" t="s">
        <v>928</v>
      </c>
      <c r="B674" s="9" t="s">
        <v>952</v>
      </c>
      <c r="C674" s="2" t="s">
        <v>2161</v>
      </c>
      <c r="D674" s="2">
        <v>4</v>
      </c>
      <c r="E674" s="2"/>
      <c r="F674" s="1">
        <f t="shared" si="52"/>
        <v>0.5</v>
      </c>
      <c r="G674" s="2" t="s">
        <v>21</v>
      </c>
      <c r="H674" s="15"/>
      <c r="I674" s="33"/>
      <c r="J674" s="33"/>
      <c r="K674" s="2"/>
      <c r="L674" s="2"/>
      <c r="M674" s="10">
        <f>8*4</f>
        <v>32</v>
      </c>
      <c r="N674" s="10">
        <f t="shared" si="53"/>
        <v>16</v>
      </c>
      <c r="O674" s="2"/>
    </row>
    <row r="675" spans="1:15" ht="18.75">
      <c r="A675" s="18" t="s">
        <v>928</v>
      </c>
      <c r="B675" s="9" t="s">
        <v>2463</v>
      </c>
      <c r="C675" s="2" t="s">
        <v>2161</v>
      </c>
      <c r="D675" s="2">
        <v>1</v>
      </c>
      <c r="E675" s="2" t="s">
        <v>953</v>
      </c>
      <c r="F675" s="1">
        <f t="shared" si="52"/>
        <v>0.5</v>
      </c>
      <c r="G675" s="2" t="s">
        <v>21</v>
      </c>
      <c r="H675" s="33"/>
      <c r="I675" s="33"/>
      <c r="J675" s="33"/>
      <c r="K675" s="2">
        <v>7.6</v>
      </c>
      <c r="L675" s="2">
        <v>5.3</v>
      </c>
      <c r="M675" s="10">
        <v>119</v>
      </c>
      <c r="N675" s="10">
        <f t="shared" si="53"/>
        <v>59.5</v>
      </c>
      <c r="O675" s="2"/>
    </row>
    <row r="676" spans="1:15" ht="18.75">
      <c r="A676" s="18" t="s">
        <v>928</v>
      </c>
      <c r="B676" s="9" t="s">
        <v>956</v>
      </c>
      <c r="C676" s="2" t="s">
        <v>2161</v>
      </c>
      <c r="D676" s="2">
        <v>1</v>
      </c>
      <c r="E676" s="2" t="s">
        <v>957</v>
      </c>
      <c r="F676" s="1">
        <f t="shared" si="52"/>
        <v>0.25</v>
      </c>
      <c r="G676" s="2" t="s">
        <v>143</v>
      </c>
      <c r="H676" s="33"/>
      <c r="I676" s="33"/>
      <c r="J676" s="33"/>
      <c r="K676" s="2"/>
      <c r="L676" s="2"/>
      <c r="M676" s="10">
        <v>75</v>
      </c>
      <c r="N676" s="10">
        <f t="shared" si="53"/>
        <v>18.75</v>
      </c>
      <c r="O676" s="2">
        <v>2015</v>
      </c>
    </row>
    <row r="677" spans="1:15" ht="18.75">
      <c r="A677" s="18" t="s">
        <v>928</v>
      </c>
      <c r="B677" s="9" t="s">
        <v>958</v>
      </c>
      <c r="C677" s="2" t="s">
        <v>2161</v>
      </c>
      <c r="D677" s="2">
        <v>1</v>
      </c>
      <c r="E677" s="2" t="s">
        <v>959</v>
      </c>
      <c r="F677" s="1">
        <f t="shared" si="52"/>
        <v>0.25</v>
      </c>
      <c r="G677" s="2" t="s">
        <v>143</v>
      </c>
      <c r="H677" s="15"/>
      <c r="I677" s="15"/>
      <c r="J677" s="15"/>
      <c r="K677" s="2"/>
      <c r="L677" s="2"/>
      <c r="M677" s="10">
        <v>100</v>
      </c>
      <c r="N677" s="10">
        <f t="shared" si="53"/>
        <v>25</v>
      </c>
      <c r="O677" s="2">
        <v>2012</v>
      </c>
    </row>
    <row r="678" spans="1:15">
      <c r="A678" s="18" t="s">
        <v>928</v>
      </c>
      <c r="B678" s="9" t="s">
        <v>960</v>
      </c>
      <c r="C678" s="2" t="s">
        <v>2161</v>
      </c>
      <c r="D678" s="2">
        <v>2</v>
      </c>
      <c r="E678" s="2"/>
      <c r="F678" s="2">
        <v>0.75</v>
      </c>
      <c r="G678" s="2" t="s">
        <v>17</v>
      </c>
      <c r="H678" s="2"/>
      <c r="I678" s="2"/>
      <c r="J678" s="2"/>
      <c r="K678" s="2"/>
      <c r="L678" s="2"/>
      <c r="M678" s="10">
        <f>10*2</f>
        <v>20</v>
      </c>
      <c r="N678" s="10">
        <f t="shared" si="53"/>
        <v>15</v>
      </c>
      <c r="O678" s="2"/>
    </row>
    <row r="679" spans="1:15">
      <c r="A679" s="18" t="s">
        <v>928</v>
      </c>
      <c r="B679" s="9" t="s">
        <v>961</v>
      </c>
      <c r="C679" s="2" t="s">
        <v>2161</v>
      </c>
      <c r="D679" s="2">
        <v>1</v>
      </c>
      <c r="E679" s="2"/>
      <c r="F679" s="2">
        <v>0.75</v>
      </c>
      <c r="G679" s="2" t="s">
        <v>17</v>
      </c>
      <c r="H679" s="2"/>
      <c r="I679" s="2"/>
      <c r="J679" s="2"/>
      <c r="K679" s="2"/>
      <c r="L679" s="2"/>
      <c r="M679" s="10">
        <v>9.99</v>
      </c>
      <c r="N679" s="10">
        <f t="shared" si="53"/>
        <v>7.4924999999999997</v>
      </c>
      <c r="O679" s="2"/>
    </row>
    <row r="680" spans="1:15">
      <c r="A680" s="18" t="s">
        <v>928</v>
      </c>
      <c r="B680" s="9" t="s">
        <v>962</v>
      </c>
      <c r="C680" s="2" t="s">
        <v>2161</v>
      </c>
      <c r="D680" s="2">
        <v>7</v>
      </c>
      <c r="E680" s="2"/>
      <c r="F680" s="2">
        <v>0.75</v>
      </c>
      <c r="G680" s="2" t="s">
        <v>17</v>
      </c>
      <c r="H680" s="2"/>
      <c r="I680" s="2"/>
      <c r="J680" s="2"/>
      <c r="K680" s="2"/>
      <c r="L680" s="2"/>
      <c r="M680" s="10">
        <f>2.27*7</f>
        <v>15.89</v>
      </c>
      <c r="N680" s="10">
        <f t="shared" si="53"/>
        <v>11.9175</v>
      </c>
      <c r="O680" s="2"/>
    </row>
    <row r="681" spans="1:15">
      <c r="A681" s="18" t="s">
        <v>928</v>
      </c>
      <c r="B681" s="9" t="s">
        <v>963</v>
      </c>
      <c r="C681" s="2" t="s">
        <v>2161</v>
      </c>
      <c r="D681" s="2">
        <v>1</v>
      </c>
      <c r="E681" s="2"/>
      <c r="F681" s="2">
        <v>0.75</v>
      </c>
      <c r="G681" s="2" t="s">
        <v>17</v>
      </c>
      <c r="H681" s="2"/>
      <c r="I681" s="2"/>
      <c r="J681" s="2"/>
      <c r="K681" s="2"/>
      <c r="L681" s="2"/>
      <c r="M681" s="10">
        <v>40</v>
      </c>
      <c r="N681" s="10">
        <f t="shared" si="53"/>
        <v>30</v>
      </c>
      <c r="O681" s="2"/>
    </row>
    <row r="682" spans="1:15">
      <c r="A682" s="18" t="s">
        <v>928</v>
      </c>
      <c r="B682" s="9" t="s">
        <v>964</v>
      </c>
      <c r="C682" s="2" t="s">
        <v>2161</v>
      </c>
      <c r="D682" s="2">
        <v>1</v>
      </c>
      <c r="E682" s="2"/>
      <c r="F682" s="2">
        <v>0.75</v>
      </c>
      <c r="G682" s="2" t="s">
        <v>17</v>
      </c>
      <c r="H682" s="2"/>
      <c r="I682" s="2"/>
      <c r="J682" s="2"/>
      <c r="K682" s="2"/>
      <c r="L682" s="2"/>
      <c r="M682" s="10">
        <v>32.5</v>
      </c>
      <c r="N682" s="10">
        <f t="shared" si="53"/>
        <v>24.375</v>
      </c>
      <c r="O682" s="2"/>
    </row>
    <row r="684" spans="1:15" ht="18" customHeight="1">
      <c r="A684" s="18" t="s">
        <v>1005</v>
      </c>
      <c r="B684" s="9" t="s">
        <v>979</v>
      </c>
      <c r="C684" s="2" t="s">
        <v>2161</v>
      </c>
      <c r="D684" s="2">
        <v>2</v>
      </c>
      <c r="E684" s="2" t="s">
        <v>2344</v>
      </c>
      <c r="F684" s="1">
        <f t="shared" ref="F684:F701" si="54">IF(G684="fair",0.5,0)+IF(G684="good",0.75,0)+IF(G684="poor",0.25,0)+IF(G684="like new",0.9,0)+IF(G684="new",1,0)</f>
        <v>0.25</v>
      </c>
      <c r="G684" s="2" t="s">
        <v>143</v>
      </c>
      <c r="H684" s="2"/>
      <c r="I684" s="2"/>
      <c r="J684" s="2"/>
      <c r="K684" s="2">
        <v>5</v>
      </c>
      <c r="L684" s="2">
        <v>6</v>
      </c>
      <c r="M684" s="10">
        <v>100</v>
      </c>
      <c r="N684" s="10">
        <f t="shared" ref="N684:N701" si="55">F684*M684</f>
        <v>25</v>
      </c>
      <c r="O684" s="2"/>
    </row>
    <row r="685" spans="1:15" ht="18" customHeight="1">
      <c r="A685" s="18" t="s">
        <v>1005</v>
      </c>
      <c r="B685" s="9" t="s">
        <v>980</v>
      </c>
      <c r="C685" s="2" t="s">
        <v>2161</v>
      </c>
      <c r="D685" s="2">
        <v>10</v>
      </c>
      <c r="E685" s="2" t="s">
        <v>981</v>
      </c>
      <c r="F685" s="1">
        <f t="shared" si="54"/>
        <v>0.5</v>
      </c>
      <c r="G685" s="2" t="s">
        <v>21</v>
      </c>
      <c r="H685" s="2"/>
      <c r="I685" s="2"/>
      <c r="J685" s="2"/>
      <c r="K685" s="2">
        <v>8</v>
      </c>
      <c r="L685" s="2">
        <v>4</v>
      </c>
      <c r="M685" s="10">
        <f>200*10</f>
        <v>2000</v>
      </c>
      <c r="N685" s="10">
        <f t="shared" si="55"/>
        <v>1000</v>
      </c>
      <c r="O685" s="2"/>
    </row>
    <row r="686" spans="1:15" ht="18" customHeight="1">
      <c r="A686" s="18" t="s">
        <v>1005</v>
      </c>
      <c r="B686" s="9" t="s">
        <v>982</v>
      </c>
      <c r="C686" s="2" t="s">
        <v>2161</v>
      </c>
      <c r="D686" s="2">
        <v>1</v>
      </c>
      <c r="E686" s="2" t="s">
        <v>983</v>
      </c>
      <c r="F686" s="1">
        <f t="shared" si="54"/>
        <v>0.25</v>
      </c>
      <c r="G686" s="2" t="s">
        <v>143</v>
      </c>
      <c r="H686" s="2"/>
      <c r="I686" s="2"/>
      <c r="J686" s="2"/>
      <c r="K686" s="2">
        <v>6</v>
      </c>
      <c r="L686" s="2">
        <v>4</v>
      </c>
      <c r="M686" s="10">
        <v>200</v>
      </c>
      <c r="N686" s="10">
        <f t="shared" si="55"/>
        <v>50</v>
      </c>
      <c r="O686" s="2"/>
    </row>
    <row r="687" spans="1:15" ht="36.75" customHeight="1">
      <c r="A687" s="18" t="s">
        <v>1005</v>
      </c>
      <c r="B687" s="9" t="s">
        <v>984</v>
      </c>
      <c r="C687" s="2" t="s">
        <v>2161</v>
      </c>
      <c r="D687" s="2">
        <v>37</v>
      </c>
      <c r="E687" s="2" t="s">
        <v>2345</v>
      </c>
      <c r="F687" s="1">
        <f t="shared" si="54"/>
        <v>0.5</v>
      </c>
      <c r="G687" s="2" t="s">
        <v>21</v>
      </c>
      <c r="H687" s="2"/>
      <c r="I687" s="2"/>
      <c r="J687" s="2"/>
      <c r="K687" s="2">
        <v>82</v>
      </c>
      <c r="L687" s="2">
        <v>42</v>
      </c>
      <c r="M687" s="10">
        <f>200*37</f>
        <v>7400</v>
      </c>
      <c r="N687" s="10">
        <f t="shared" si="55"/>
        <v>3700</v>
      </c>
      <c r="O687" s="2"/>
    </row>
    <row r="688" spans="1:15" ht="18.75" customHeight="1">
      <c r="A688" s="18" t="s">
        <v>1005</v>
      </c>
      <c r="B688" s="9" t="s">
        <v>985</v>
      </c>
      <c r="C688" s="2" t="s">
        <v>2161</v>
      </c>
      <c r="D688" s="2">
        <v>3</v>
      </c>
      <c r="E688" s="47" t="s">
        <v>1003</v>
      </c>
      <c r="F688" s="1">
        <f t="shared" si="54"/>
        <v>0.25</v>
      </c>
      <c r="G688" s="2" t="s">
        <v>143</v>
      </c>
      <c r="H688" s="2"/>
      <c r="I688" s="2"/>
      <c r="J688" s="2"/>
      <c r="K688" s="2"/>
      <c r="L688" s="2"/>
      <c r="M688" s="10">
        <f>100*3</f>
        <v>300</v>
      </c>
      <c r="N688" s="10">
        <f t="shared" si="55"/>
        <v>75</v>
      </c>
      <c r="O688" s="2"/>
    </row>
    <row r="689" spans="1:15" ht="18" customHeight="1">
      <c r="A689" s="18" t="s">
        <v>1005</v>
      </c>
      <c r="B689" s="9" t="s">
        <v>1023</v>
      </c>
      <c r="C689" s="2" t="s">
        <v>2058</v>
      </c>
      <c r="D689" s="2">
        <v>2</v>
      </c>
      <c r="E689" s="2" t="s">
        <v>2346</v>
      </c>
      <c r="F689" s="1">
        <f t="shared" si="54"/>
        <v>0.5</v>
      </c>
      <c r="G689" s="2" t="s">
        <v>21</v>
      </c>
      <c r="H689" s="2"/>
      <c r="I689" s="2"/>
      <c r="J689" s="2"/>
      <c r="K689" s="2">
        <v>8</v>
      </c>
      <c r="L689" s="2">
        <v>2.5</v>
      </c>
      <c r="M689" s="10">
        <f>300+65</f>
        <v>365</v>
      </c>
      <c r="N689" s="10">
        <f t="shared" si="55"/>
        <v>182.5</v>
      </c>
      <c r="O689" s="2"/>
    </row>
    <row r="690" spans="1:15" ht="18" customHeight="1">
      <c r="A690" s="18" t="s">
        <v>1005</v>
      </c>
      <c r="B690" s="9" t="s">
        <v>294</v>
      </c>
      <c r="C690" s="2" t="s">
        <v>2058</v>
      </c>
      <c r="D690" s="2">
        <v>1</v>
      </c>
      <c r="E690" s="2" t="s">
        <v>986</v>
      </c>
      <c r="F690" s="1">
        <f t="shared" si="54"/>
        <v>0.9</v>
      </c>
      <c r="G690" s="2" t="s">
        <v>117</v>
      </c>
      <c r="H690" s="2" t="b">
        <v>1</v>
      </c>
      <c r="I690" s="2" t="s">
        <v>987</v>
      </c>
      <c r="J690" s="2"/>
      <c r="K690" s="2">
        <v>7</v>
      </c>
      <c r="L690" s="2">
        <v>2</v>
      </c>
      <c r="M690" s="10">
        <v>3229</v>
      </c>
      <c r="N690" s="10">
        <f t="shared" si="55"/>
        <v>2906.1</v>
      </c>
      <c r="O690" s="2">
        <v>2023</v>
      </c>
    </row>
    <row r="691" spans="1:15" ht="18" customHeight="1">
      <c r="A691" s="18" t="s">
        <v>1005</v>
      </c>
      <c r="B691" s="9" t="s">
        <v>988</v>
      </c>
      <c r="C691" s="2" t="s">
        <v>2058</v>
      </c>
      <c r="D691" s="2">
        <v>1</v>
      </c>
      <c r="E691" s="2" t="s">
        <v>989</v>
      </c>
      <c r="F691" s="1">
        <f t="shared" si="54"/>
        <v>0.9</v>
      </c>
      <c r="G691" s="2" t="s">
        <v>117</v>
      </c>
      <c r="H691" s="2" t="b">
        <v>1</v>
      </c>
      <c r="I691" s="2" t="s">
        <v>990</v>
      </c>
      <c r="J691" s="2"/>
      <c r="K691" s="2">
        <v>7</v>
      </c>
      <c r="L691" s="2">
        <v>2.5</v>
      </c>
      <c r="M691" s="10">
        <v>3279</v>
      </c>
      <c r="N691" s="10">
        <f t="shared" si="55"/>
        <v>2951.1</v>
      </c>
      <c r="O691" s="2">
        <v>2023</v>
      </c>
    </row>
    <row r="692" spans="1:15" ht="18" customHeight="1">
      <c r="A692" s="18" t="s">
        <v>1005</v>
      </c>
      <c r="B692" s="9" t="s">
        <v>991</v>
      </c>
      <c r="C692" s="2" t="s">
        <v>2058</v>
      </c>
      <c r="D692" s="2">
        <v>1</v>
      </c>
      <c r="E692" s="2" t="s">
        <v>992</v>
      </c>
      <c r="F692" s="1">
        <f t="shared" si="54"/>
        <v>0.5</v>
      </c>
      <c r="G692" s="2" t="s">
        <v>21</v>
      </c>
      <c r="H692" s="2" t="s">
        <v>328</v>
      </c>
      <c r="I692" s="2"/>
      <c r="J692" s="2"/>
      <c r="K692" s="2">
        <v>6</v>
      </c>
      <c r="L692" s="2">
        <v>2.5</v>
      </c>
      <c r="M692" s="10">
        <v>12441</v>
      </c>
      <c r="N692" s="10">
        <f t="shared" si="55"/>
        <v>6220.5</v>
      </c>
      <c r="O692" s="2">
        <v>2013</v>
      </c>
    </row>
    <row r="693" spans="1:15" ht="18" customHeight="1">
      <c r="A693" s="18" t="s">
        <v>1005</v>
      </c>
      <c r="B693" s="9" t="s">
        <v>993</v>
      </c>
      <c r="C693" s="2" t="s">
        <v>2058</v>
      </c>
      <c r="D693" s="2">
        <v>2</v>
      </c>
      <c r="E693" s="2" t="s">
        <v>994</v>
      </c>
      <c r="F693" s="1">
        <f t="shared" si="54"/>
        <v>0.75</v>
      </c>
      <c r="G693" s="2" t="s">
        <v>17</v>
      </c>
      <c r="H693" s="2"/>
      <c r="I693" s="2"/>
      <c r="J693" s="2"/>
      <c r="K693" s="2">
        <v>6</v>
      </c>
      <c r="L693" s="2">
        <v>4</v>
      </c>
      <c r="M693" s="10">
        <f>125*2</f>
        <v>250</v>
      </c>
      <c r="N693" s="10">
        <f t="shared" si="55"/>
        <v>187.5</v>
      </c>
      <c r="O693" s="2"/>
    </row>
    <row r="694" spans="1:15" ht="18" customHeight="1">
      <c r="A694" s="18" t="s">
        <v>1005</v>
      </c>
      <c r="B694" s="9" t="s">
        <v>995</v>
      </c>
      <c r="C694" s="2" t="s">
        <v>2058</v>
      </c>
      <c r="D694" s="2">
        <v>1</v>
      </c>
      <c r="E694" s="47" t="s">
        <v>1004</v>
      </c>
      <c r="F694" s="1">
        <f t="shared" si="54"/>
        <v>0.25</v>
      </c>
      <c r="G694" s="2" t="s">
        <v>143</v>
      </c>
      <c r="H694" s="2" t="s">
        <v>996</v>
      </c>
      <c r="I694" s="2" t="s">
        <v>997</v>
      </c>
      <c r="J694" s="2"/>
      <c r="K694" s="2">
        <v>5</v>
      </c>
      <c r="L694" s="2">
        <v>2</v>
      </c>
      <c r="M694" s="10">
        <v>550</v>
      </c>
      <c r="N694" s="10">
        <f t="shared" si="55"/>
        <v>137.5</v>
      </c>
      <c r="O694" s="2">
        <v>2012</v>
      </c>
    </row>
    <row r="695" spans="1:15" ht="18" customHeight="1">
      <c r="A695" s="18" t="s">
        <v>1005</v>
      </c>
      <c r="B695" s="9" t="s">
        <v>296</v>
      </c>
      <c r="C695" s="2" t="s">
        <v>2058</v>
      </c>
      <c r="D695" s="2">
        <v>1</v>
      </c>
      <c r="E695" s="2" t="s">
        <v>998</v>
      </c>
      <c r="F695" s="1">
        <f t="shared" si="54"/>
        <v>0.75</v>
      </c>
      <c r="G695" s="2" t="s">
        <v>17</v>
      </c>
      <c r="H695" s="2" t="s">
        <v>999</v>
      </c>
      <c r="I695" s="2" t="s">
        <v>1000</v>
      </c>
      <c r="J695" s="2"/>
      <c r="K695" s="2">
        <v>1.5</v>
      </c>
      <c r="L695" s="2">
        <v>1</v>
      </c>
      <c r="M695" s="10">
        <v>124</v>
      </c>
      <c r="N695" s="10">
        <f t="shared" si="55"/>
        <v>93</v>
      </c>
      <c r="O695" s="2">
        <v>2011</v>
      </c>
    </row>
    <row r="696" spans="1:15" ht="18.75">
      <c r="A696" s="18" t="s">
        <v>1005</v>
      </c>
      <c r="B696" s="9" t="s">
        <v>1001</v>
      </c>
      <c r="C696" s="2" t="s">
        <v>2161</v>
      </c>
      <c r="D696" s="2">
        <v>1</v>
      </c>
      <c r="E696" s="2" t="s">
        <v>2170</v>
      </c>
      <c r="F696" s="1">
        <f t="shared" si="54"/>
        <v>0.5</v>
      </c>
      <c r="G696" s="2" t="s">
        <v>21</v>
      </c>
      <c r="H696" s="14"/>
      <c r="I696" s="2"/>
      <c r="J696" s="2"/>
      <c r="K696" s="2"/>
      <c r="L696" s="2"/>
      <c r="M696" s="10"/>
      <c r="N696" s="10">
        <f t="shared" si="55"/>
        <v>0</v>
      </c>
      <c r="O696" s="2"/>
    </row>
    <row r="697" spans="1:15" ht="18.75">
      <c r="A697" s="18" t="s">
        <v>1005</v>
      </c>
      <c r="B697" s="9" t="s">
        <v>1002</v>
      </c>
      <c r="C697" s="2" t="s">
        <v>2057</v>
      </c>
      <c r="D697" s="2">
        <v>4</v>
      </c>
      <c r="E697" s="2"/>
      <c r="F697" s="1">
        <f t="shared" si="54"/>
        <v>0.75</v>
      </c>
      <c r="G697" s="2" t="s">
        <v>17</v>
      </c>
      <c r="H697" s="14"/>
      <c r="I697" s="2"/>
      <c r="J697" s="2"/>
      <c r="K697" s="2"/>
      <c r="L697" s="2"/>
      <c r="M697" s="10">
        <f>70*4</f>
        <v>280</v>
      </c>
      <c r="N697" s="10">
        <f t="shared" si="55"/>
        <v>210</v>
      </c>
      <c r="O697" s="2"/>
    </row>
    <row r="698" spans="1:15" ht="18.75">
      <c r="A698" s="18" t="s">
        <v>1005</v>
      </c>
      <c r="B698" s="9" t="s">
        <v>1008</v>
      </c>
      <c r="C698" s="2" t="s">
        <v>2161</v>
      </c>
      <c r="D698" s="2">
        <v>1</v>
      </c>
      <c r="E698" s="2"/>
      <c r="F698" s="1">
        <f t="shared" si="54"/>
        <v>0.5</v>
      </c>
      <c r="G698" s="2" t="s">
        <v>21</v>
      </c>
      <c r="H698" s="2"/>
      <c r="I698" s="2"/>
      <c r="J698" s="2"/>
      <c r="K698" s="2"/>
      <c r="L698" s="2"/>
      <c r="M698" s="10">
        <f>89+13+7.99</f>
        <v>109.99</v>
      </c>
      <c r="N698" s="10">
        <f t="shared" si="55"/>
        <v>54.994999999999997</v>
      </c>
      <c r="O698" s="2"/>
    </row>
    <row r="699" spans="1:15" ht="18.75">
      <c r="A699" s="18" t="s">
        <v>1005</v>
      </c>
      <c r="B699" s="9" t="s">
        <v>1009</v>
      </c>
      <c r="C699" s="2" t="s">
        <v>2161</v>
      </c>
      <c r="D699" s="2">
        <v>2</v>
      </c>
      <c r="E699" s="2"/>
      <c r="F699" s="1">
        <f t="shared" si="54"/>
        <v>0.75</v>
      </c>
      <c r="G699" s="2" t="s">
        <v>17</v>
      </c>
      <c r="H699" s="2"/>
      <c r="I699" s="2"/>
      <c r="J699" s="2"/>
      <c r="K699" s="2"/>
      <c r="L699" s="2"/>
      <c r="M699" s="32">
        <v>40</v>
      </c>
      <c r="N699" s="10">
        <f t="shared" si="55"/>
        <v>30</v>
      </c>
      <c r="O699" s="2"/>
    </row>
    <row r="700" spans="1:15" ht="18.75">
      <c r="A700" s="18" t="s">
        <v>1005</v>
      </c>
      <c r="B700" s="9" t="s">
        <v>1010</v>
      </c>
      <c r="C700" s="2" t="s">
        <v>2161</v>
      </c>
      <c r="D700" s="2">
        <v>5</v>
      </c>
      <c r="E700" s="2"/>
      <c r="F700" s="1">
        <f t="shared" si="54"/>
        <v>0.5</v>
      </c>
      <c r="G700" s="2" t="s">
        <v>21</v>
      </c>
      <c r="H700" s="2"/>
      <c r="I700" s="2"/>
      <c r="J700" s="2"/>
      <c r="K700" s="2"/>
      <c r="L700" s="2"/>
      <c r="M700" s="10">
        <f>40*5</f>
        <v>200</v>
      </c>
      <c r="N700" s="10">
        <f t="shared" si="55"/>
        <v>100</v>
      </c>
      <c r="O700" s="2"/>
    </row>
    <row r="701" spans="1:15" ht="18.75">
      <c r="A701" s="18" t="s">
        <v>1005</v>
      </c>
      <c r="B701" s="9" t="s">
        <v>1011</v>
      </c>
      <c r="C701" s="2" t="s">
        <v>2161</v>
      </c>
      <c r="D701" s="2">
        <v>1</v>
      </c>
      <c r="E701" s="2"/>
      <c r="F701" s="1">
        <f t="shared" si="54"/>
        <v>0.75</v>
      </c>
      <c r="G701" s="2" t="s">
        <v>17</v>
      </c>
      <c r="H701" s="2"/>
      <c r="I701" s="2"/>
      <c r="J701" s="2"/>
      <c r="K701" s="2"/>
      <c r="L701" s="2"/>
      <c r="M701" s="10">
        <v>15</v>
      </c>
      <c r="N701" s="10">
        <f t="shared" si="55"/>
        <v>11.25</v>
      </c>
      <c r="O701" s="2"/>
    </row>
    <row r="703" spans="1:15" ht="18" customHeight="1">
      <c r="A703" s="18" t="s">
        <v>1017</v>
      </c>
      <c r="B703" s="9" t="s">
        <v>979</v>
      </c>
      <c r="C703" s="2" t="s">
        <v>2161</v>
      </c>
      <c r="D703" s="2">
        <v>2</v>
      </c>
      <c r="E703" s="2" t="s">
        <v>2347</v>
      </c>
      <c r="F703" s="1">
        <f t="shared" ref="F703:F722" si="56">IF(G703="fair",0.5,0)+IF(G703="good",0.75,0)+IF(G703="poor",0.25,0)+IF(G703="like new",0.9,0)+IF(G703="new",1,0)</f>
        <v>0.5</v>
      </c>
      <c r="G703" s="2" t="s">
        <v>21</v>
      </c>
      <c r="H703" s="2"/>
      <c r="I703" s="2"/>
      <c r="J703" s="2"/>
      <c r="K703" s="2"/>
      <c r="L703" s="2"/>
      <c r="M703" s="10">
        <f>100*2</f>
        <v>200</v>
      </c>
      <c r="N703" s="10">
        <f t="shared" ref="N703:N722" si="57">F703*M703</f>
        <v>100</v>
      </c>
      <c r="O703" s="2"/>
    </row>
    <row r="704" spans="1:15" ht="18" customHeight="1">
      <c r="A704" s="18" t="s">
        <v>1017</v>
      </c>
      <c r="B704" s="9" t="s">
        <v>1018</v>
      </c>
      <c r="C704" s="2" t="s">
        <v>2161</v>
      </c>
      <c r="D704" s="2">
        <v>8</v>
      </c>
      <c r="E704" s="2" t="s">
        <v>1019</v>
      </c>
      <c r="F704" s="1">
        <f t="shared" si="56"/>
        <v>0.5</v>
      </c>
      <c r="G704" s="2" t="s">
        <v>21</v>
      </c>
      <c r="H704" s="2"/>
      <c r="I704" s="2"/>
      <c r="J704" s="2"/>
      <c r="K704" s="2"/>
      <c r="L704" s="2"/>
      <c r="M704" s="10">
        <f>200*8</f>
        <v>1600</v>
      </c>
      <c r="N704" s="10">
        <f t="shared" si="57"/>
        <v>800</v>
      </c>
      <c r="O704" s="2"/>
    </row>
    <row r="705" spans="1:15" ht="18" customHeight="1">
      <c r="A705" s="18" t="s">
        <v>1017</v>
      </c>
      <c r="B705" s="9" t="s">
        <v>982</v>
      </c>
      <c r="C705" s="2" t="s">
        <v>2161</v>
      </c>
      <c r="D705" s="2">
        <v>1</v>
      </c>
      <c r="E705" s="2" t="s">
        <v>1020</v>
      </c>
      <c r="F705" s="1">
        <f t="shared" si="56"/>
        <v>0.25</v>
      </c>
      <c r="G705" s="2" t="s">
        <v>143</v>
      </c>
      <c r="H705" s="2"/>
      <c r="I705" s="2"/>
      <c r="J705" s="2"/>
      <c r="K705" s="2"/>
      <c r="L705" s="2"/>
      <c r="M705" s="10">
        <v>200</v>
      </c>
      <c r="N705" s="10">
        <f t="shared" si="57"/>
        <v>50</v>
      </c>
      <c r="O705" s="2"/>
    </row>
    <row r="706" spans="1:15" ht="18" customHeight="1">
      <c r="A706" s="18" t="s">
        <v>1017</v>
      </c>
      <c r="B706" s="9" t="s">
        <v>1021</v>
      </c>
      <c r="C706" s="2" t="s">
        <v>2161</v>
      </c>
      <c r="D706" s="2">
        <v>25</v>
      </c>
      <c r="E706" s="2" t="s">
        <v>1022</v>
      </c>
      <c r="F706" s="1">
        <f t="shared" si="56"/>
        <v>0.5</v>
      </c>
      <c r="G706" s="2" t="s">
        <v>21</v>
      </c>
      <c r="H706" s="2"/>
      <c r="I706" s="2"/>
      <c r="J706" s="2"/>
      <c r="K706" s="2"/>
      <c r="L706" s="2"/>
      <c r="M706" s="10">
        <f>200*23</f>
        <v>4600</v>
      </c>
      <c r="N706" s="10">
        <f t="shared" si="57"/>
        <v>2300</v>
      </c>
      <c r="O706" s="2">
        <v>2010</v>
      </c>
    </row>
    <row r="707" spans="1:15" ht="18" customHeight="1">
      <c r="A707" s="18" t="s">
        <v>1017</v>
      </c>
      <c r="B707" s="9" t="s">
        <v>1023</v>
      </c>
      <c r="C707" s="2" t="s">
        <v>2058</v>
      </c>
      <c r="D707" s="2">
        <v>1</v>
      </c>
      <c r="E707" s="2" t="s">
        <v>1024</v>
      </c>
      <c r="F707" s="1">
        <f t="shared" si="56"/>
        <v>0.75</v>
      </c>
      <c r="G707" s="2" t="s">
        <v>17</v>
      </c>
      <c r="H707" s="2"/>
      <c r="I707" s="2"/>
      <c r="J707" s="2"/>
      <c r="K707" s="2"/>
      <c r="L707" s="2"/>
      <c r="M707" s="10">
        <f>300</f>
        <v>300</v>
      </c>
      <c r="N707" s="10">
        <f t="shared" si="57"/>
        <v>225</v>
      </c>
      <c r="O707" s="2"/>
    </row>
    <row r="708" spans="1:15" ht="18" customHeight="1">
      <c r="A708" s="18" t="s">
        <v>1017</v>
      </c>
      <c r="B708" s="9" t="s">
        <v>294</v>
      </c>
      <c r="C708" s="2" t="s">
        <v>2058</v>
      </c>
      <c r="D708" s="2">
        <v>1</v>
      </c>
      <c r="E708" s="2" t="s">
        <v>1025</v>
      </c>
      <c r="F708" s="1">
        <f t="shared" si="56"/>
        <v>0.5</v>
      </c>
      <c r="G708" s="2" t="s">
        <v>21</v>
      </c>
      <c r="H708" s="2"/>
      <c r="I708" s="2"/>
      <c r="J708" s="2"/>
      <c r="K708" s="2"/>
      <c r="L708" s="2"/>
      <c r="M708" s="10">
        <v>5000</v>
      </c>
      <c r="N708" s="10">
        <f t="shared" si="57"/>
        <v>2500</v>
      </c>
      <c r="O708" s="2"/>
    </row>
    <row r="709" spans="1:15" ht="18" customHeight="1">
      <c r="A709" s="18" t="s">
        <v>1017</v>
      </c>
      <c r="B709" s="9" t="s">
        <v>988</v>
      </c>
      <c r="C709" s="2" t="s">
        <v>2058</v>
      </c>
      <c r="D709" s="2">
        <v>1</v>
      </c>
      <c r="E709" s="2" t="s">
        <v>1026</v>
      </c>
      <c r="F709" s="1">
        <f t="shared" si="56"/>
        <v>0.75</v>
      </c>
      <c r="G709" s="2" t="s">
        <v>17</v>
      </c>
      <c r="H709" s="2"/>
      <c r="I709" s="2"/>
      <c r="J709" s="2"/>
      <c r="K709" s="2"/>
      <c r="L709" s="2"/>
      <c r="M709" s="10">
        <v>1274.99</v>
      </c>
      <c r="N709" s="10">
        <f t="shared" si="57"/>
        <v>956.24250000000006</v>
      </c>
      <c r="O709" s="2">
        <v>2011</v>
      </c>
    </row>
    <row r="710" spans="1:15" ht="18" customHeight="1">
      <c r="A710" s="18" t="s">
        <v>1017</v>
      </c>
      <c r="B710" s="9" t="s">
        <v>985</v>
      </c>
      <c r="C710" s="2" t="s">
        <v>2161</v>
      </c>
      <c r="D710" s="2">
        <v>4</v>
      </c>
      <c r="E710" s="2" t="s">
        <v>737</v>
      </c>
      <c r="F710" s="1">
        <f t="shared" si="56"/>
        <v>0.5</v>
      </c>
      <c r="G710" s="2" t="s">
        <v>21</v>
      </c>
      <c r="H710" s="2"/>
      <c r="I710" s="2"/>
      <c r="J710" s="2"/>
      <c r="K710" s="2"/>
      <c r="L710" s="2"/>
      <c r="M710" s="10">
        <f>100*4</f>
        <v>400</v>
      </c>
      <c r="N710" s="10">
        <f t="shared" si="57"/>
        <v>200</v>
      </c>
      <c r="O710" s="2"/>
    </row>
    <row r="711" spans="1:15" ht="18" customHeight="1">
      <c r="A711" s="18" t="s">
        <v>1017</v>
      </c>
      <c r="B711" s="9" t="s">
        <v>1027</v>
      </c>
      <c r="C711" s="2" t="s">
        <v>2161</v>
      </c>
      <c r="D711" s="2">
        <v>1</v>
      </c>
      <c r="E711" s="2" t="s">
        <v>1028</v>
      </c>
      <c r="F711" s="1">
        <f t="shared" si="56"/>
        <v>0.25</v>
      </c>
      <c r="G711" s="2" t="s">
        <v>143</v>
      </c>
      <c r="H711" s="2"/>
      <c r="I711" s="2"/>
      <c r="J711" s="2"/>
      <c r="K711" s="2"/>
      <c r="L711" s="2"/>
      <c r="M711" s="46">
        <v>300</v>
      </c>
      <c r="N711" s="10">
        <f t="shared" si="57"/>
        <v>75</v>
      </c>
      <c r="O711" s="2">
        <v>2001</v>
      </c>
    </row>
    <row r="712" spans="1:15" ht="18" customHeight="1">
      <c r="A712" s="18" t="s">
        <v>1017</v>
      </c>
      <c r="B712" s="9" t="s">
        <v>1029</v>
      </c>
      <c r="C712" s="2" t="s">
        <v>2161</v>
      </c>
      <c r="D712" s="2">
        <v>4</v>
      </c>
      <c r="E712" s="11" t="s">
        <v>2348</v>
      </c>
      <c r="F712" s="1">
        <f t="shared" si="56"/>
        <v>0.25</v>
      </c>
      <c r="G712" s="2" t="s">
        <v>143</v>
      </c>
      <c r="H712" s="2"/>
      <c r="I712" s="2"/>
      <c r="J712" s="2"/>
      <c r="K712" s="2"/>
      <c r="L712" s="2"/>
      <c r="M712" s="10">
        <f>32*4</f>
        <v>128</v>
      </c>
      <c r="N712" s="10">
        <f t="shared" si="57"/>
        <v>32</v>
      </c>
      <c r="O712" s="2">
        <v>2001</v>
      </c>
    </row>
    <row r="713" spans="1:15" ht="18" customHeight="1">
      <c r="A713" s="18" t="s">
        <v>1017</v>
      </c>
      <c r="B713" s="9" t="s">
        <v>1030</v>
      </c>
      <c r="C713" s="2" t="s">
        <v>2161</v>
      </c>
      <c r="D713" s="2">
        <v>1</v>
      </c>
      <c r="E713" s="2" t="s">
        <v>1031</v>
      </c>
      <c r="F713" s="1">
        <f t="shared" si="56"/>
        <v>0.25</v>
      </c>
      <c r="G713" s="2" t="s">
        <v>143</v>
      </c>
      <c r="H713" s="2"/>
      <c r="I713" s="2"/>
      <c r="J713" s="2"/>
      <c r="K713" s="2"/>
      <c r="L713" s="2"/>
      <c r="M713" s="10">
        <v>100</v>
      </c>
      <c r="N713" s="10">
        <f t="shared" si="57"/>
        <v>25</v>
      </c>
      <c r="O713" s="2"/>
    </row>
    <row r="714" spans="1:15" ht="18" customHeight="1">
      <c r="A714" s="18" t="s">
        <v>1017</v>
      </c>
      <c r="B714" s="9" t="s">
        <v>296</v>
      </c>
      <c r="C714" s="2" t="s">
        <v>2058</v>
      </c>
      <c r="D714" s="2">
        <v>1</v>
      </c>
      <c r="E714" s="2" t="s">
        <v>297</v>
      </c>
      <c r="F714" s="1">
        <f t="shared" si="56"/>
        <v>0.5</v>
      </c>
      <c r="G714" s="2" t="s">
        <v>21</v>
      </c>
      <c r="H714" s="2"/>
      <c r="I714" s="2"/>
      <c r="J714" s="2"/>
      <c r="K714" s="2"/>
      <c r="L714" s="2"/>
      <c r="M714" s="10">
        <v>124.95</v>
      </c>
      <c r="N714" s="10">
        <f t="shared" si="57"/>
        <v>62.475000000000001</v>
      </c>
      <c r="O714" s="2">
        <v>2011</v>
      </c>
    </row>
    <row r="715" spans="1:15" ht="18" customHeight="1">
      <c r="A715" s="18" t="s">
        <v>1017</v>
      </c>
      <c r="B715" s="9" t="s">
        <v>451</v>
      </c>
      <c r="C715" s="2" t="s">
        <v>2058</v>
      </c>
      <c r="D715" s="2">
        <v>1</v>
      </c>
      <c r="E715" s="2" t="s">
        <v>1032</v>
      </c>
      <c r="F715" s="1">
        <f t="shared" si="56"/>
        <v>0.75</v>
      </c>
      <c r="G715" s="2" t="s">
        <v>17</v>
      </c>
      <c r="H715" s="2" t="s">
        <v>593</v>
      </c>
      <c r="I715" s="2" t="s">
        <v>1033</v>
      </c>
      <c r="J715" s="2"/>
      <c r="K715" s="2"/>
      <c r="L715" s="2"/>
      <c r="M715" s="10">
        <v>27.99</v>
      </c>
      <c r="N715" s="10">
        <f t="shared" si="57"/>
        <v>20.9925</v>
      </c>
      <c r="O715" s="2"/>
    </row>
    <row r="716" spans="1:15" ht="18" customHeight="1">
      <c r="A716" s="18" t="s">
        <v>1017</v>
      </c>
      <c r="B716" s="9" t="s">
        <v>991</v>
      </c>
      <c r="C716" s="2" t="s">
        <v>2058</v>
      </c>
      <c r="D716" s="2">
        <v>1</v>
      </c>
      <c r="E716" s="2" t="s">
        <v>1034</v>
      </c>
      <c r="F716" s="1">
        <f t="shared" si="56"/>
        <v>0.5</v>
      </c>
      <c r="G716" s="2" t="s">
        <v>21</v>
      </c>
      <c r="H716" s="2"/>
      <c r="I716" s="2"/>
      <c r="J716" s="2"/>
      <c r="K716" s="2"/>
      <c r="L716" s="2"/>
      <c r="M716" s="10">
        <v>12889</v>
      </c>
      <c r="N716" s="10">
        <f t="shared" si="57"/>
        <v>6444.5</v>
      </c>
      <c r="O716" s="48">
        <v>41023</v>
      </c>
    </row>
    <row r="717" spans="1:15" ht="18" customHeight="1">
      <c r="A717" s="18" t="s">
        <v>1017</v>
      </c>
      <c r="B717" s="9" t="s">
        <v>761</v>
      </c>
      <c r="C717" s="2" t="s">
        <v>2161</v>
      </c>
      <c r="D717" s="2">
        <v>1</v>
      </c>
      <c r="E717" s="2" t="s">
        <v>1037</v>
      </c>
      <c r="F717" s="1">
        <f t="shared" si="56"/>
        <v>0.5</v>
      </c>
      <c r="G717" s="2" t="s">
        <v>21</v>
      </c>
      <c r="H717" s="2"/>
      <c r="I717" s="2"/>
      <c r="J717" s="2"/>
      <c r="K717" s="2"/>
      <c r="L717" s="2"/>
      <c r="M717" s="10">
        <v>200</v>
      </c>
      <c r="N717" s="10">
        <f t="shared" si="57"/>
        <v>100</v>
      </c>
      <c r="O717" s="2"/>
    </row>
    <row r="718" spans="1:15" ht="42" customHeight="1">
      <c r="A718" s="18" t="s">
        <v>1017</v>
      </c>
      <c r="B718" s="9" t="s">
        <v>1038</v>
      </c>
      <c r="C718" s="2" t="s">
        <v>2161</v>
      </c>
      <c r="D718" s="2">
        <v>3</v>
      </c>
      <c r="E718" s="2" t="s">
        <v>1039</v>
      </c>
      <c r="F718" s="1">
        <f t="shared" si="56"/>
        <v>0.5</v>
      </c>
      <c r="G718" s="2" t="s">
        <v>21</v>
      </c>
      <c r="H718" s="2"/>
      <c r="I718" s="2"/>
      <c r="J718" s="2"/>
      <c r="K718" s="2"/>
      <c r="L718" s="2"/>
      <c r="M718" s="10">
        <v>500</v>
      </c>
      <c r="N718" s="10">
        <f t="shared" si="57"/>
        <v>250</v>
      </c>
      <c r="O718" s="2"/>
    </row>
    <row r="719" spans="1:15" ht="18.75">
      <c r="A719" s="18" t="s">
        <v>1017</v>
      </c>
      <c r="B719" s="9" t="s">
        <v>949</v>
      </c>
      <c r="C719" s="2" t="s">
        <v>2057</v>
      </c>
      <c r="D719" s="2">
        <v>3</v>
      </c>
      <c r="E719" s="2"/>
      <c r="F719" s="1">
        <f t="shared" si="56"/>
        <v>0.75</v>
      </c>
      <c r="G719" s="2" t="s">
        <v>17</v>
      </c>
      <c r="H719" s="14"/>
      <c r="I719" s="2"/>
      <c r="J719" s="2"/>
      <c r="K719" s="2"/>
      <c r="L719" s="2"/>
      <c r="M719" s="10">
        <f>70*3</f>
        <v>210</v>
      </c>
      <c r="N719" s="10">
        <f t="shared" si="57"/>
        <v>157.5</v>
      </c>
      <c r="O719" s="2"/>
    </row>
    <row r="720" spans="1:15" ht="18.75">
      <c r="A720" s="18" t="s">
        <v>1017</v>
      </c>
      <c r="B720" s="9" t="s">
        <v>1040</v>
      </c>
      <c r="C720" s="2" t="s">
        <v>2161</v>
      </c>
      <c r="D720" s="2">
        <v>6</v>
      </c>
      <c r="E720" s="2"/>
      <c r="F720" s="1">
        <f t="shared" si="56"/>
        <v>0.75</v>
      </c>
      <c r="G720" s="2" t="s">
        <v>17</v>
      </c>
      <c r="H720" s="14"/>
      <c r="I720" s="2"/>
      <c r="J720" s="2"/>
      <c r="K720" s="2"/>
      <c r="L720" s="2"/>
      <c r="M720" s="10">
        <f>40</f>
        <v>40</v>
      </c>
      <c r="N720" s="10">
        <f t="shared" si="57"/>
        <v>30</v>
      </c>
      <c r="O720" s="2"/>
    </row>
    <row r="721" spans="1:15" ht="18" customHeight="1">
      <c r="A721" s="18" t="s">
        <v>1017</v>
      </c>
      <c r="B721" s="9" t="s">
        <v>1041</v>
      </c>
      <c r="C721" s="2" t="s">
        <v>2161</v>
      </c>
      <c r="D721" s="2">
        <v>1</v>
      </c>
      <c r="E721" s="2"/>
      <c r="F721" s="1">
        <f t="shared" si="56"/>
        <v>0.5</v>
      </c>
      <c r="G721" s="2" t="s">
        <v>21</v>
      </c>
      <c r="H721" s="14"/>
      <c r="I721" s="2"/>
      <c r="J721" s="2"/>
      <c r="K721" s="2"/>
      <c r="L721" s="2"/>
      <c r="M721" s="44"/>
      <c r="N721" s="10">
        <f t="shared" si="57"/>
        <v>0</v>
      </c>
      <c r="O721" s="2"/>
    </row>
    <row r="722" spans="1:15" ht="18.75">
      <c r="A722" s="18" t="s">
        <v>1017</v>
      </c>
      <c r="B722" s="9" t="s">
        <v>1042</v>
      </c>
      <c r="C722" s="2" t="s">
        <v>2161</v>
      </c>
      <c r="D722" s="2">
        <v>6</v>
      </c>
      <c r="E722" s="2"/>
      <c r="F722" s="1">
        <f t="shared" si="56"/>
        <v>0.5</v>
      </c>
      <c r="G722" s="2" t="s">
        <v>21</v>
      </c>
      <c r="H722" s="2"/>
      <c r="I722" s="2"/>
      <c r="J722" s="2"/>
      <c r="K722" s="2"/>
      <c r="L722" s="2"/>
      <c r="M722" s="44">
        <f>40*6</f>
        <v>240</v>
      </c>
      <c r="N722" s="10">
        <f t="shared" si="57"/>
        <v>120</v>
      </c>
      <c r="O722" s="2"/>
    </row>
    <row r="724" spans="1:15" ht="36" customHeight="1">
      <c r="A724" s="18" t="s">
        <v>1146</v>
      </c>
      <c r="B724" s="9" t="s">
        <v>1147</v>
      </c>
      <c r="C724" s="2" t="s">
        <v>2171</v>
      </c>
      <c r="D724" s="2">
        <v>3</v>
      </c>
      <c r="E724" s="2" t="s">
        <v>1148</v>
      </c>
      <c r="F724" s="1">
        <f t="shared" ref="F724:F793" si="58">IF(G724="fair",0.5,0)+IF(G724="good",0.75,0)+IF(G724="poor",0.25,0)+IF(G724="like new",0.9,0)+IF(G724="new",1,0)</f>
        <v>0.25</v>
      </c>
      <c r="G724" s="2" t="s">
        <v>143</v>
      </c>
      <c r="H724" s="2" t="s">
        <v>1149</v>
      </c>
      <c r="I724" s="2"/>
      <c r="J724" s="2"/>
      <c r="K724" s="2"/>
      <c r="L724" s="2"/>
      <c r="M724" s="10">
        <f>7000*3</f>
        <v>21000</v>
      </c>
      <c r="N724" s="10">
        <f t="shared" ref="N724:N741" si="59">F724*M724</f>
        <v>5250</v>
      </c>
      <c r="O724" s="2">
        <v>2016</v>
      </c>
    </row>
    <row r="725" spans="1:15" ht="18" customHeight="1">
      <c r="A725" s="18" t="s">
        <v>1146</v>
      </c>
      <c r="B725" s="9" t="s">
        <v>1150</v>
      </c>
      <c r="C725" s="2" t="s">
        <v>2161</v>
      </c>
      <c r="D725" s="2">
        <v>7</v>
      </c>
      <c r="E725" s="2" t="s">
        <v>2349</v>
      </c>
      <c r="F725" s="1">
        <f t="shared" si="58"/>
        <v>1</v>
      </c>
      <c r="G725" s="2" t="s">
        <v>59</v>
      </c>
      <c r="H725" s="2"/>
      <c r="I725" s="2"/>
      <c r="J725" s="2"/>
      <c r="K725" s="2"/>
      <c r="L725" s="2"/>
      <c r="M725" s="10">
        <f>32*7</f>
        <v>224</v>
      </c>
      <c r="N725" s="10">
        <f t="shared" si="59"/>
        <v>224</v>
      </c>
      <c r="O725" s="2"/>
    </row>
    <row r="726" spans="1:15" ht="18" customHeight="1">
      <c r="A726" s="18" t="s">
        <v>1146</v>
      </c>
      <c r="B726" s="9" t="s">
        <v>1151</v>
      </c>
      <c r="C726" s="2" t="s">
        <v>2161</v>
      </c>
      <c r="D726" s="2">
        <v>2</v>
      </c>
      <c r="E726" s="2" t="s">
        <v>2350</v>
      </c>
      <c r="F726" s="1">
        <f t="shared" si="58"/>
        <v>0.5</v>
      </c>
      <c r="G726" s="2" t="s">
        <v>21</v>
      </c>
      <c r="H726" s="2"/>
      <c r="I726" s="2"/>
      <c r="J726" s="2"/>
      <c r="K726" s="2"/>
      <c r="L726" s="2"/>
      <c r="M726" s="10">
        <v>50</v>
      </c>
      <c r="N726" s="10">
        <f t="shared" si="59"/>
        <v>25</v>
      </c>
      <c r="O726" s="2"/>
    </row>
    <row r="727" spans="1:15" ht="18" customHeight="1">
      <c r="A727" s="18" t="s">
        <v>1146</v>
      </c>
      <c r="B727" s="9" t="s">
        <v>1152</v>
      </c>
      <c r="C727" s="2" t="s">
        <v>2161</v>
      </c>
      <c r="D727" s="2">
        <v>1</v>
      </c>
      <c r="E727" s="2" t="s">
        <v>1153</v>
      </c>
      <c r="F727" s="1">
        <f t="shared" si="58"/>
        <v>0.25</v>
      </c>
      <c r="G727" s="2" t="s">
        <v>143</v>
      </c>
      <c r="H727" s="2" t="s">
        <v>1154</v>
      </c>
      <c r="I727" s="2"/>
      <c r="J727" s="2"/>
      <c r="K727" s="2"/>
      <c r="L727" s="2"/>
      <c r="M727" s="10">
        <v>40</v>
      </c>
      <c r="N727" s="10">
        <f t="shared" si="59"/>
        <v>10</v>
      </c>
      <c r="O727" s="2"/>
    </row>
    <row r="728" spans="1:15" ht="18.75">
      <c r="A728" s="18" t="s">
        <v>1146</v>
      </c>
      <c r="B728" s="9" t="s">
        <v>1155</v>
      </c>
      <c r="C728" s="2" t="s">
        <v>2161</v>
      </c>
      <c r="D728" s="2">
        <v>2</v>
      </c>
      <c r="E728" s="2" t="s">
        <v>2351</v>
      </c>
      <c r="F728" s="1">
        <f t="shared" si="58"/>
        <v>0.5</v>
      </c>
      <c r="G728" s="2" t="s">
        <v>21</v>
      </c>
      <c r="H728" s="2"/>
      <c r="I728" s="2"/>
      <c r="J728" s="2"/>
      <c r="K728" s="2"/>
      <c r="L728" s="2"/>
      <c r="M728" s="10">
        <f>100*2</f>
        <v>200</v>
      </c>
      <c r="N728" s="10">
        <f t="shared" si="59"/>
        <v>100</v>
      </c>
      <c r="O728" s="2"/>
    </row>
    <row r="729" spans="1:15" ht="18.75">
      <c r="A729" s="18" t="s">
        <v>1146</v>
      </c>
      <c r="B729" s="9" t="s">
        <v>1156</v>
      </c>
      <c r="C729" s="2" t="s">
        <v>2161</v>
      </c>
      <c r="D729" s="2">
        <v>9</v>
      </c>
      <c r="E729" s="2" t="s">
        <v>1157</v>
      </c>
      <c r="F729" s="1">
        <f t="shared" si="58"/>
        <v>0.5</v>
      </c>
      <c r="G729" s="2" t="s">
        <v>21</v>
      </c>
      <c r="H729" s="2"/>
      <c r="I729" s="2"/>
      <c r="J729" s="2"/>
      <c r="K729" s="2"/>
      <c r="L729" s="2"/>
      <c r="M729" s="10">
        <f>12*9</f>
        <v>108</v>
      </c>
      <c r="N729" s="10">
        <f t="shared" si="59"/>
        <v>54</v>
      </c>
      <c r="O729" s="2"/>
    </row>
    <row r="730" spans="1:15" ht="18.75">
      <c r="A730" s="18" t="s">
        <v>1146</v>
      </c>
      <c r="B730" s="9" t="s">
        <v>134</v>
      </c>
      <c r="C730" s="2" t="s">
        <v>2057</v>
      </c>
      <c r="D730" s="2">
        <v>2</v>
      </c>
      <c r="E730" s="2" t="s">
        <v>75</v>
      </c>
      <c r="F730" s="1">
        <f t="shared" si="58"/>
        <v>0.75</v>
      </c>
      <c r="G730" s="2" t="s">
        <v>17</v>
      </c>
      <c r="H730" s="2"/>
      <c r="I730" s="2"/>
      <c r="J730" s="2"/>
      <c r="K730" s="2"/>
      <c r="L730" s="2"/>
      <c r="M730" s="10">
        <f>70*2</f>
        <v>140</v>
      </c>
      <c r="N730" s="10">
        <f t="shared" si="59"/>
        <v>105</v>
      </c>
      <c r="O730" s="15"/>
    </row>
    <row r="731" spans="1:15" ht="18.75">
      <c r="A731" s="18" t="s">
        <v>1146</v>
      </c>
      <c r="B731" s="9" t="s">
        <v>1158</v>
      </c>
      <c r="C731" s="2" t="s">
        <v>2058</v>
      </c>
      <c r="D731" s="2">
        <v>1</v>
      </c>
      <c r="E731" s="2" t="s">
        <v>1159</v>
      </c>
      <c r="F731" s="1">
        <f t="shared" si="58"/>
        <v>0.5</v>
      </c>
      <c r="G731" s="2" t="s">
        <v>21</v>
      </c>
      <c r="H731" s="2" t="s">
        <v>2432</v>
      </c>
      <c r="I731" s="2" t="s">
        <v>1160</v>
      </c>
      <c r="J731" s="2"/>
      <c r="K731" s="2"/>
      <c r="L731" s="2"/>
      <c r="M731" s="10">
        <v>500</v>
      </c>
      <c r="N731" s="10">
        <f t="shared" si="59"/>
        <v>250</v>
      </c>
      <c r="O731" s="48">
        <v>38899</v>
      </c>
    </row>
    <row r="732" spans="1:15" ht="18.75">
      <c r="A732" s="18" t="s">
        <v>1146</v>
      </c>
      <c r="B732" s="9" t="s">
        <v>296</v>
      </c>
      <c r="C732" s="2" t="s">
        <v>2161</v>
      </c>
      <c r="D732" s="2">
        <v>2</v>
      </c>
      <c r="E732" s="2" t="s">
        <v>2352</v>
      </c>
      <c r="F732" s="1">
        <f t="shared" si="58"/>
        <v>0.5</v>
      </c>
      <c r="G732" s="2" t="s">
        <v>21</v>
      </c>
      <c r="H732" s="2"/>
      <c r="I732" s="2"/>
      <c r="J732" s="2"/>
      <c r="K732" s="2"/>
      <c r="L732" s="2"/>
      <c r="M732" s="10">
        <f>2*125</f>
        <v>250</v>
      </c>
      <c r="N732" s="10">
        <f t="shared" si="59"/>
        <v>125</v>
      </c>
      <c r="O732" s="2">
        <v>2016</v>
      </c>
    </row>
    <row r="733" spans="1:15" ht="18.75">
      <c r="A733" s="18" t="s">
        <v>1146</v>
      </c>
      <c r="B733" s="9" t="s">
        <v>1161</v>
      </c>
      <c r="C733" s="2" t="s">
        <v>2057</v>
      </c>
      <c r="D733" s="2">
        <v>1</v>
      </c>
      <c r="E733" s="2" t="s">
        <v>2114</v>
      </c>
      <c r="F733" s="1">
        <f t="shared" si="58"/>
        <v>0.5</v>
      </c>
      <c r="G733" s="2" t="s">
        <v>21</v>
      </c>
      <c r="H733" s="2" t="s">
        <v>1162</v>
      </c>
      <c r="I733" s="2"/>
      <c r="J733" s="2"/>
      <c r="K733" s="2"/>
      <c r="L733" s="2"/>
      <c r="M733" s="10">
        <v>100</v>
      </c>
      <c r="N733" s="10">
        <f t="shared" si="59"/>
        <v>50</v>
      </c>
      <c r="O733" s="2">
        <v>2017</v>
      </c>
    </row>
    <row r="734" spans="1:15" ht="18.75">
      <c r="A734" s="18" t="s">
        <v>1146</v>
      </c>
      <c r="B734" s="9" t="s">
        <v>1163</v>
      </c>
      <c r="C734" s="2" t="s">
        <v>2161</v>
      </c>
      <c r="D734" s="2">
        <v>1</v>
      </c>
      <c r="E734" s="2" t="s">
        <v>1164</v>
      </c>
      <c r="F734" s="1">
        <f t="shared" si="58"/>
        <v>0.5</v>
      </c>
      <c r="G734" s="2" t="s">
        <v>21</v>
      </c>
      <c r="H734" s="2"/>
      <c r="I734" s="2"/>
      <c r="J734" s="2"/>
      <c r="K734" s="2"/>
      <c r="L734" s="2"/>
      <c r="M734" s="10">
        <f>55</f>
        <v>55</v>
      </c>
      <c r="N734" s="10">
        <f t="shared" si="59"/>
        <v>27.5</v>
      </c>
      <c r="O734" s="2">
        <v>2014</v>
      </c>
    </row>
    <row r="735" spans="1:15" ht="18.75">
      <c r="A735" s="18" t="s">
        <v>1146</v>
      </c>
      <c r="B735" s="9" t="s">
        <v>1165</v>
      </c>
      <c r="C735" s="11" t="s">
        <v>2161</v>
      </c>
      <c r="D735" s="2">
        <v>3</v>
      </c>
      <c r="E735" s="2"/>
      <c r="F735" s="1">
        <f t="shared" si="58"/>
        <v>0.75</v>
      </c>
      <c r="G735" s="2" t="s">
        <v>17</v>
      </c>
      <c r="H735" s="15"/>
      <c r="I735" s="15"/>
      <c r="J735" s="15"/>
      <c r="K735" s="15"/>
      <c r="L735" s="15"/>
      <c r="M735" s="10">
        <v>40</v>
      </c>
      <c r="N735" s="10">
        <f t="shared" si="59"/>
        <v>30</v>
      </c>
      <c r="O735" s="15"/>
    </row>
    <row r="736" spans="1:15" ht="18.75">
      <c r="A736" s="18" t="s">
        <v>1146</v>
      </c>
      <c r="B736" s="9" t="s">
        <v>1166</v>
      </c>
      <c r="C736" s="2" t="s">
        <v>2161</v>
      </c>
      <c r="D736" s="2">
        <v>30</v>
      </c>
      <c r="E736" s="2" t="s">
        <v>1167</v>
      </c>
      <c r="F736" s="1">
        <f t="shared" si="58"/>
        <v>0</v>
      </c>
      <c r="G736" s="2" t="s">
        <v>120</v>
      </c>
      <c r="H736" s="2"/>
      <c r="I736" s="2"/>
      <c r="J736" s="2"/>
      <c r="K736" s="2"/>
      <c r="L736" s="2"/>
      <c r="M736" s="10"/>
      <c r="N736" s="10">
        <f t="shared" si="59"/>
        <v>0</v>
      </c>
      <c r="O736" s="2"/>
    </row>
    <row r="737" spans="1:15" ht="18.75">
      <c r="A737" s="18" t="s">
        <v>1146</v>
      </c>
      <c r="B737" s="9" t="s">
        <v>1168</v>
      </c>
      <c r="C737" s="2" t="s">
        <v>2161</v>
      </c>
      <c r="D737" s="2">
        <v>8</v>
      </c>
      <c r="E737" s="2" t="s">
        <v>2354</v>
      </c>
      <c r="F737" s="1">
        <f t="shared" si="58"/>
        <v>0.5</v>
      </c>
      <c r="G737" s="2" t="s">
        <v>21</v>
      </c>
      <c r="H737" s="2"/>
      <c r="I737" s="2"/>
      <c r="J737" s="2"/>
      <c r="K737" s="2"/>
      <c r="L737" s="2"/>
      <c r="M737" s="10">
        <f>34*8</f>
        <v>272</v>
      </c>
      <c r="N737" s="10">
        <f t="shared" si="59"/>
        <v>136</v>
      </c>
      <c r="O737" s="2">
        <v>2019</v>
      </c>
    </row>
    <row r="738" spans="1:15" ht="18.75">
      <c r="A738" s="18" t="s">
        <v>1146</v>
      </c>
      <c r="B738" s="9" t="s">
        <v>201</v>
      </c>
      <c r="C738" s="2" t="s">
        <v>2161</v>
      </c>
      <c r="D738" s="2">
        <v>1</v>
      </c>
      <c r="E738" s="2" t="s">
        <v>1171</v>
      </c>
      <c r="F738" s="1">
        <f t="shared" si="58"/>
        <v>0.25</v>
      </c>
      <c r="G738" s="2" t="s">
        <v>143</v>
      </c>
      <c r="H738" s="2"/>
      <c r="I738" s="2"/>
      <c r="J738" s="2"/>
      <c r="K738" s="2"/>
      <c r="L738" s="2"/>
      <c r="M738" s="10">
        <v>120</v>
      </c>
      <c r="N738" s="10">
        <f t="shared" si="59"/>
        <v>30</v>
      </c>
      <c r="O738" s="2">
        <v>2015</v>
      </c>
    </row>
    <row r="739" spans="1:15" ht="18.75">
      <c r="A739" s="18" t="s">
        <v>1146</v>
      </c>
      <c r="B739" s="9" t="s">
        <v>570</v>
      </c>
      <c r="C739" s="2" t="s">
        <v>2161</v>
      </c>
      <c r="D739" s="2">
        <v>2</v>
      </c>
      <c r="E739" s="2" t="s">
        <v>2355</v>
      </c>
      <c r="F739" s="1">
        <f t="shared" si="58"/>
        <v>0.5</v>
      </c>
      <c r="G739" s="2" t="s">
        <v>21</v>
      </c>
      <c r="H739" s="2"/>
      <c r="I739" s="2"/>
      <c r="J739" s="2"/>
      <c r="K739" s="2"/>
      <c r="L739" s="2"/>
      <c r="M739" s="10">
        <v>20</v>
      </c>
      <c r="N739" s="10">
        <f t="shared" si="59"/>
        <v>10</v>
      </c>
      <c r="O739" s="2">
        <v>2018</v>
      </c>
    </row>
    <row r="740" spans="1:15" ht="18.75">
      <c r="A740" s="18" t="s">
        <v>1146</v>
      </c>
      <c r="B740" s="9" t="s">
        <v>572</v>
      </c>
      <c r="C740" s="2" t="s">
        <v>2161</v>
      </c>
      <c r="D740" s="2">
        <v>1</v>
      </c>
      <c r="E740" s="2" t="s">
        <v>1172</v>
      </c>
      <c r="F740" s="1">
        <f t="shared" si="58"/>
        <v>0.5</v>
      </c>
      <c r="G740" s="2" t="s">
        <v>21</v>
      </c>
      <c r="H740" s="2"/>
      <c r="I740" s="2"/>
      <c r="J740" s="2"/>
      <c r="K740" s="2"/>
      <c r="L740" s="2"/>
      <c r="M740" s="10">
        <v>8</v>
      </c>
      <c r="N740" s="10">
        <f t="shared" si="59"/>
        <v>4</v>
      </c>
      <c r="O740" s="2"/>
    </row>
    <row r="741" spans="1:15" ht="18.75">
      <c r="A741" s="18" t="s">
        <v>1146</v>
      </c>
      <c r="B741" s="9" t="s">
        <v>1173</v>
      </c>
      <c r="C741" s="2" t="s">
        <v>2161</v>
      </c>
      <c r="D741" s="2">
        <v>3</v>
      </c>
      <c r="E741" s="2" t="s">
        <v>2356</v>
      </c>
      <c r="F741" s="1">
        <f t="shared" si="58"/>
        <v>0.25</v>
      </c>
      <c r="G741" s="2" t="s">
        <v>143</v>
      </c>
      <c r="H741" s="2"/>
      <c r="I741" s="2"/>
      <c r="J741" s="2"/>
      <c r="K741" s="2"/>
      <c r="L741" s="2"/>
      <c r="M741" s="10">
        <v>264</v>
      </c>
      <c r="N741" s="10">
        <f t="shared" si="59"/>
        <v>66</v>
      </c>
      <c r="O741" s="2"/>
    </row>
    <row r="743" spans="1:15" ht="18" customHeight="1">
      <c r="A743" s="18" t="s">
        <v>1183</v>
      </c>
      <c r="B743" s="9" t="s">
        <v>1186</v>
      </c>
      <c r="C743" s="2" t="s">
        <v>2161</v>
      </c>
      <c r="D743" s="2">
        <v>1</v>
      </c>
      <c r="E743" s="2" t="s">
        <v>1187</v>
      </c>
      <c r="F743" s="1">
        <f t="shared" si="58"/>
        <v>0.75</v>
      </c>
      <c r="G743" s="2" t="s">
        <v>17</v>
      </c>
      <c r="H743" s="14" t="s">
        <v>1188</v>
      </c>
      <c r="I743" s="2" t="s">
        <v>1189</v>
      </c>
      <c r="J743" s="2">
        <v>20265.008000000002</v>
      </c>
      <c r="K743" s="2"/>
      <c r="L743" s="2"/>
      <c r="M743" s="10">
        <v>6373</v>
      </c>
      <c r="N743" s="10">
        <f t="shared" ref="N743:N748" si="60">F743*M743</f>
        <v>4779.75</v>
      </c>
      <c r="O743" s="2">
        <v>2021</v>
      </c>
    </row>
    <row r="744" spans="1:15" ht="18" customHeight="1">
      <c r="A744" s="18" t="s">
        <v>1183</v>
      </c>
      <c r="B744" s="9" t="s">
        <v>1190</v>
      </c>
      <c r="C744" s="2" t="s">
        <v>2161</v>
      </c>
      <c r="D744" s="2">
        <v>2</v>
      </c>
      <c r="E744" s="2" t="s">
        <v>2357</v>
      </c>
      <c r="F744" s="1">
        <f t="shared" si="58"/>
        <v>0.5</v>
      </c>
      <c r="G744" s="2" t="s">
        <v>21</v>
      </c>
      <c r="H744" s="14"/>
      <c r="I744" s="2"/>
      <c r="J744" s="2"/>
      <c r="K744" s="2"/>
      <c r="L744" s="2"/>
      <c r="M744" s="10">
        <f>220*2</f>
        <v>440</v>
      </c>
      <c r="N744" s="10">
        <f t="shared" si="60"/>
        <v>220</v>
      </c>
      <c r="O744" s="2"/>
    </row>
    <row r="745" spans="1:15" ht="18" customHeight="1">
      <c r="A745" s="18" t="s">
        <v>1183</v>
      </c>
      <c r="B745" s="9" t="s">
        <v>1191</v>
      </c>
      <c r="C745" s="2" t="s">
        <v>2161</v>
      </c>
      <c r="D745" s="2">
        <v>1</v>
      </c>
      <c r="E745" s="2" t="s">
        <v>1192</v>
      </c>
      <c r="F745" s="1">
        <f t="shared" si="58"/>
        <v>0.75</v>
      </c>
      <c r="G745" s="2" t="s">
        <v>17</v>
      </c>
      <c r="H745" s="14" t="s">
        <v>1193</v>
      </c>
      <c r="I745" s="2" t="s">
        <v>1194</v>
      </c>
      <c r="J745" s="2">
        <v>8102147592</v>
      </c>
      <c r="K745" s="2" t="s">
        <v>1195</v>
      </c>
      <c r="L745" s="2"/>
      <c r="M745" s="10">
        <v>9875</v>
      </c>
      <c r="N745" s="10">
        <f t="shared" si="60"/>
        <v>7406.25</v>
      </c>
      <c r="O745" s="2">
        <v>2021</v>
      </c>
    </row>
    <row r="746" spans="1:15" ht="18" customHeight="1">
      <c r="A746" s="18" t="s">
        <v>1183</v>
      </c>
      <c r="B746" s="9" t="s">
        <v>1186</v>
      </c>
      <c r="C746" s="2" t="s">
        <v>2161</v>
      </c>
      <c r="D746" s="2">
        <v>1</v>
      </c>
      <c r="E746" s="2" t="s">
        <v>1196</v>
      </c>
      <c r="F746" s="1">
        <f t="shared" si="58"/>
        <v>0.5</v>
      </c>
      <c r="G746" s="2" t="s">
        <v>21</v>
      </c>
      <c r="H746" s="14" t="s">
        <v>1188</v>
      </c>
      <c r="I746" s="2" t="s">
        <v>1197</v>
      </c>
      <c r="J746" s="26">
        <v>200400139477</v>
      </c>
      <c r="K746" s="2"/>
      <c r="L746" s="2"/>
      <c r="M746" s="10">
        <v>4700</v>
      </c>
      <c r="N746" s="10">
        <f t="shared" si="60"/>
        <v>2350</v>
      </c>
      <c r="O746" s="2"/>
    </row>
    <row r="747" spans="1:15" ht="36" customHeight="1">
      <c r="A747" s="18" t="s">
        <v>1183</v>
      </c>
      <c r="B747" s="9" t="s">
        <v>1198</v>
      </c>
      <c r="C747" s="2" t="s">
        <v>2161</v>
      </c>
      <c r="D747" s="2">
        <v>3</v>
      </c>
      <c r="E747" s="2" t="s">
        <v>2358</v>
      </c>
      <c r="F747" s="1">
        <f t="shared" si="58"/>
        <v>0.5</v>
      </c>
      <c r="G747" s="2" t="s">
        <v>21</v>
      </c>
      <c r="H747" s="14"/>
      <c r="I747" s="2"/>
      <c r="J747" s="2"/>
      <c r="K747" s="2"/>
      <c r="L747" s="2"/>
      <c r="M747" s="10">
        <f>50*3</f>
        <v>150</v>
      </c>
      <c r="N747" s="10">
        <f t="shared" si="60"/>
        <v>75</v>
      </c>
      <c r="O747" s="2">
        <v>2013</v>
      </c>
    </row>
    <row r="748" spans="1:15" ht="18" customHeight="1">
      <c r="A748" s="18" t="s">
        <v>1183</v>
      </c>
      <c r="B748" s="9" t="s">
        <v>1199</v>
      </c>
      <c r="C748" s="2" t="s">
        <v>2161</v>
      </c>
      <c r="D748" s="2">
        <v>1</v>
      </c>
      <c r="E748" s="2" t="s">
        <v>1200</v>
      </c>
      <c r="F748" s="1">
        <f t="shared" si="58"/>
        <v>0.5</v>
      </c>
      <c r="G748" s="2" t="s">
        <v>21</v>
      </c>
      <c r="H748" s="14"/>
      <c r="I748" s="2"/>
      <c r="J748" s="2"/>
      <c r="K748" s="2"/>
      <c r="L748" s="2"/>
      <c r="M748" s="10">
        <v>25</v>
      </c>
      <c r="N748" s="10">
        <f t="shared" si="60"/>
        <v>12.5</v>
      </c>
      <c r="O748" s="2"/>
    </row>
    <row r="749" spans="1:15" ht="18.75">
      <c r="A749" s="18" t="s">
        <v>1183</v>
      </c>
      <c r="B749" s="9" t="s">
        <v>336</v>
      </c>
      <c r="C749" s="2" t="s">
        <v>2161</v>
      </c>
      <c r="D749" s="2">
        <v>3</v>
      </c>
      <c r="E749" s="2" t="s">
        <v>2359</v>
      </c>
      <c r="F749" s="1">
        <f t="shared" si="58"/>
        <v>0.5</v>
      </c>
      <c r="G749" s="2" t="s">
        <v>21</v>
      </c>
      <c r="H749" s="2" t="s">
        <v>337</v>
      </c>
      <c r="I749" s="2"/>
      <c r="J749" s="2"/>
      <c r="K749" s="2"/>
      <c r="L749" s="2"/>
      <c r="M749" s="10"/>
      <c r="N749" s="10"/>
      <c r="O749" s="2"/>
    </row>
    <row r="750" spans="1:15" ht="18.75">
      <c r="A750" s="18" t="s">
        <v>1183</v>
      </c>
      <c r="B750" s="9" t="s">
        <v>1201</v>
      </c>
      <c r="C750" s="2" t="s">
        <v>2161</v>
      </c>
      <c r="D750" s="2">
        <v>2</v>
      </c>
      <c r="E750" s="2"/>
      <c r="F750" s="1">
        <f t="shared" si="58"/>
        <v>0.75</v>
      </c>
      <c r="G750" s="2" t="s">
        <v>17</v>
      </c>
      <c r="H750" s="2"/>
      <c r="I750" s="2"/>
      <c r="J750" s="2"/>
      <c r="K750" s="2"/>
      <c r="L750" s="2"/>
      <c r="M750" s="10">
        <v>40</v>
      </c>
      <c r="N750" s="10">
        <f t="shared" ref="N750:N758" si="61">F750*M750</f>
        <v>30</v>
      </c>
      <c r="O750" s="2"/>
    </row>
    <row r="751" spans="1:15" ht="18.75">
      <c r="A751" s="18" t="s">
        <v>1183</v>
      </c>
      <c r="B751" s="9" t="s">
        <v>567</v>
      </c>
      <c r="C751" s="2" t="s">
        <v>2161</v>
      </c>
      <c r="D751" s="2">
        <v>1</v>
      </c>
      <c r="E751" s="2"/>
      <c r="F751" s="1">
        <f t="shared" si="58"/>
        <v>0.75</v>
      </c>
      <c r="G751" s="2" t="s">
        <v>17</v>
      </c>
      <c r="H751" s="2"/>
      <c r="I751" s="2"/>
      <c r="J751" s="2"/>
      <c r="K751" s="2"/>
      <c r="L751" s="2"/>
      <c r="M751" s="10"/>
      <c r="N751" s="10">
        <f t="shared" si="61"/>
        <v>0</v>
      </c>
      <c r="O751" s="2"/>
    </row>
    <row r="752" spans="1:15" ht="18.75">
      <c r="A752" s="18" t="s">
        <v>1183</v>
      </c>
      <c r="B752" s="9" t="s">
        <v>949</v>
      </c>
      <c r="C752" s="2" t="s">
        <v>2057</v>
      </c>
      <c r="D752" s="2">
        <v>1</v>
      </c>
      <c r="E752" s="2" t="s">
        <v>75</v>
      </c>
      <c r="F752" s="1">
        <f t="shared" si="58"/>
        <v>0.75</v>
      </c>
      <c r="G752" s="2" t="s">
        <v>17</v>
      </c>
      <c r="H752" s="2"/>
      <c r="I752" s="2"/>
      <c r="J752" s="2"/>
      <c r="K752" s="2"/>
      <c r="L752" s="2"/>
      <c r="M752" s="10">
        <v>70</v>
      </c>
      <c r="N752" s="10">
        <f t="shared" si="61"/>
        <v>52.5</v>
      </c>
      <c r="O752" s="2"/>
    </row>
    <row r="753" spans="1:15" ht="18.75">
      <c r="A753" s="18" t="s">
        <v>1183</v>
      </c>
      <c r="B753" s="9" t="s">
        <v>573</v>
      </c>
      <c r="C753" s="2" t="s">
        <v>2161</v>
      </c>
      <c r="D753" s="2">
        <v>5</v>
      </c>
      <c r="E753" s="2" t="s">
        <v>1202</v>
      </c>
      <c r="F753" s="1">
        <f t="shared" si="58"/>
        <v>0.5</v>
      </c>
      <c r="G753" s="2" t="s">
        <v>21</v>
      </c>
      <c r="H753" s="2"/>
      <c r="I753" s="2"/>
      <c r="J753" s="2"/>
      <c r="K753" s="2"/>
      <c r="L753" s="2"/>
      <c r="M753" s="10">
        <f>40*2+18*3</f>
        <v>134</v>
      </c>
      <c r="N753" s="10">
        <f t="shared" si="61"/>
        <v>67</v>
      </c>
      <c r="O753" s="2"/>
    </row>
    <row r="754" spans="1:15" ht="18.75">
      <c r="A754" s="18" t="s">
        <v>1183</v>
      </c>
      <c r="B754" s="9" t="s">
        <v>1205</v>
      </c>
      <c r="C754" s="2" t="s">
        <v>2161</v>
      </c>
      <c r="D754" s="2">
        <v>1</v>
      </c>
      <c r="E754" s="2" t="s">
        <v>1206</v>
      </c>
      <c r="F754" s="1">
        <f t="shared" si="58"/>
        <v>0.5</v>
      </c>
      <c r="G754" s="2" t="s">
        <v>21</v>
      </c>
      <c r="H754" s="2"/>
      <c r="I754" s="2"/>
      <c r="J754" s="2"/>
      <c r="K754" s="2"/>
      <c r="L754" s="2"/>
      <c r="M754" s="10">
        <v>28</v>
      </c>
      <c r="N754" s="10">
        <f t="shared" si="61"/>
        <v>14</v>
      </c>
      <c r="O754" s="2"/>
    </row>
    <row r="755" spans="1:15" ht="18.75">
      <c r="A755" s="18" t="s">
        <v>1183</v>
      </c>
      <c r="B755" s="9" t="s">
        <v>1208</v>
      </c>
      <c r="C755" s="2" t="s">
        <v>2161</v>
      </c>
      <c r="D755" s="2">
        <v>1</v>
      </c>
      <c r="E755" s="2" t="s">
        <v>1209</v>
      </c>
      <c r="F755" s="1">
        <f t="shared" si="58"/>
        <v>0.75</v>
      </c>
      <c r="G755" s="2" t="s">
        <v>17</v>
      </c>
      <c r="H755" s="2"/>
      <c r="I755" s="2"/>
      <c r="J755" s="2"/>
      <c r="K755" s="2"/>
      <c r="L755" s="2"/>
      <c r="M755" s="10">
        <v>15</v>
      </c>
      <c r="N755" s="10">
        <f t="shared" si="61"/>
        <v>11.25</v>
      </c>
      <c r="O755" s="2"/>
    </row>
    <row r="756" spans="1:15" ht="18.75">
      <c r="A756" s="18" t="s">
        <v>1183</v>
      </c>
      <c r="B756" s="9" t="s">
        <v>1210</v>
      </c>
      <c r="C756" s="2" t="s">
        <v>2161</v>
      </c>
      <c r="D756" s="2">
        <v>1</v>
      </c>
      <c r="E756" s="2" t="s">
        <v>2360</v>
      </c>
      <c r="F756" s="1">
        <f t="shared" si="58"/>
        <v>0.75</v>
      </c>
      <c r="G756" s="2" t="s">
        <v>17</v>
      </c>
      <c r="H756" s="2"/>
      <c r="I756" s="2"/>
      <c r="J756" s="2"/>
      <c r="K756" s="2"/>
      <c r="L756" s="2"/>
      <c r="M756" s="10">
        <v>282</v>
      </c>
      <c r="N756" s="10">
        <f t="shared" si="61"/>
        <v>211.5</v>
      </c>
      <c r="O756" s="2">
        <v>2013</v>
      </c>
    </row>
    <row r="757" spans="1:15" s="90" customFormat="1" ht="18.75">
      <c r="A757" s="18" t="s">
        <v>1183</v>
      </c>
      <c r="B757" s="129" t="s">
        <v>2445</v>
      </c>
      <c r="C757" s="2" t="s">
        <v>2161</v>
      </c>
      <c r="D757" s="86">
        <v>6</v>
      </c>
      <c r="E757" s="86" t="s">
        <v>794</v>
      </c>
      <c r="F757" s="1">
        <f t="shared" si="58"/>
        <v>1</v>
      </c>
      <c r="G757" s="86" t="s">
        <v>59</v>
      </c>
      <c r="H757" s="86"/>
      <c r="I757" s="86"/>
      <c r="J757" s="86"/>
      <c r="K757" s="86"/>
      <c r="L757" s="86"/>
      <c r="M757" s="88">
        <f>6*10</f>
        <v>60</v>
      </c>
      <c r="N757" s="10">
        <f t="shared" si="61"/>
        <v>60</v>
      </c>
      <c r="O757" s="88"/>
    </row>
    <row r="758" spans="1:15" s="90" customFormat="1" ht="18.75">
      <c r="A758" s="18" t="s">
        <v>1183</v>
      </c>
      <c r="B758" s="137" t="s">
        <v>2446</v>
      </c>
      <c r="C758" s="2" t="s">
        <v>2161</v>
      </c>
      <c r="D758" s="86">
        <v>8</v>
      </c>
      <c r="E758" s="86" t="s">
        <v>2447</v>
      </c>
      <c r="F758" s="1">
        <f t="shared" si="58"/>
        <v>1</v>
      </c>
      <c r="G758" s="114" t="s">
        <v>59</v>
      </c>
      <c r="H758" s="114"/>
      <c r="I758" s="114"/>
      <c r="J758" s="114"/>
      <c r="K758" s="114"/>
      <c r="L758" s="114"/>
      <c r="M758" s="131">
        <f>4*8</f>
        <v>32</v>
      </c>
      <c r="N758" s="10">
        <f t="shared" si="61"/>
        <v>32</v>
      </c>
      <c r="O758" s="131"/>
    </row>
    <row r="759" spans="1:15" s="90" customFormat="1">
      <c r="A759" s="92"/>
      <c r="B759" s="135"/>
      <c r="C759" s="116"/>
      <c r="D759" s="135"/>
      <c r="E759" s="135"/>
      <c r="F759" s="116"/>
      <c r="G759" s="116"/>
      <c r="H759" s="116"/>
      <c r="I759" s="116"/>
      <c r="J759" s="116"/>
      <c r="K759" s="116"/>
      <c r="L759" s="116"/>
      <c r="M759" s="116"/>
      <c r="N759" s="116"/>
      <c r="O759" s="136"/>
    </row>
    <row r="760" spans="1:15">
      <c r="A760" s="18" t="s">
        <v>1183</v>
      </c>
      <c r="B760" s="132" t="s">
        <v>1211</v>
      </c>
      <c r="C760" s="133"/>
      <c r="D760" s="133" t="s">
        <v>2361</v>
      </c>
      <c r="E760" s="134"/>
      <c r="F760" s="30"/>
      <c r="G760" s="30"/>
      <c r="H760" s="30"/>
      <c r="I760" s="30"/>
      <c r="J760" s="30"/>
      <c r="K760" s="30"/>
      <c r="L760" s="30"/>
      <c r="M760" s="31"/>
      <c r="N760" s="31"/>
      <c r="O760" s="30"/>
    </row>
    <row r="761" spans="1:15" ht="18.75">
      <c r="A761" s="18" t="s">
        <v>1183</v>
      </c>
      <c r="B761" s="52" t="s">
        <v>1212</v>
      </c>
      <c r="C761" s="2" t="s">
        <v>2161</v>
      </c>
      <c r="D761" s="53" t="s">
        <v>2115</v>
      </c>
      <c r="E761" s="14" t="s">
        <v>794</v>
      </c>
      <c r="F761" s="1">
        <f t="shared" si="58"/>
        <v>0.75</v>
      </c>
      <c r="G761" s="2" t="s">
        <v>17</v>
      </c>
      <c r="H761" s="2"/>
      <c r="I761" s="2"/>
      <c r="J761" s="2"/>
      <c r="K761" s="2"/>
      <c r="L761" s="2"/>
      <c r="M761" s="10">
        <f>7.5*48+12.5*24</f>
        <v>660</v>
      </c>
      <c r="N761" s="10">
        <f t="shared" ref="N761:N767" si="62">F761*M761</f>
        <v>495</v>
      </c>
      <c r="O761" s="2">
        <v>2019</v>
      </c>
    </row>
    <row r="762" spans="1:15" ht="18.75">
      <c r="A762" s="18" t="s">
        <v>1183</v>
      </c>
      <c r="B762" s="52" t="s">
        <v>1213</v>
      </c>
      <c r="C762" s="2" t="s">
        <v>2161</v>
      </c>
      <c r="D762" s="53" t="s">
        <v>2116</v>
      </c>
      <c r="E762" s="14" t="s">
        <v>794</v>
      </c>
      <c r="F762" s="1">
        <f t="shared" si="58"/>
        <v>0.75</v>
      </c>
      <c r="G762" s="2" t="s">
        <v>17</v>
      </c>
      <c r="H762" s="2"/>
      <c r="I762" s="2"/>
      <c r="J762" s="2"/>
      <c r="K762" s="2"/>
      <c r="L762" s="2"/>
      <c r="M762" s="10">
        <f>28.34*98+31.49*31</f>
        <v>3753.51</v>
      </c>
      <c r="N762" s="10">
        <f t="shared" si="62"/>
        <v>2815.1325000000002</v>
      </c>
      <c r="O762" s="2">
        <v>2019</v>
      </c>
    </row>
    <row r="763" spans="1:15" ht="18.75">
      <c r="A763" s="18" t="s">
        <v>1183</v>
      </c>
      <c r="B763" s="52" t="s">
        <v>1214</v>
      </c>
      <c r="C763" s="2" t="s">
        <v>2161</v>
      </c>
      <c r="D763" s="53" t="s">
        <v>2117</v>
      </c>
      <c r="E763" s="14" t="s">
        <v>794</v>
      </c>
      <c r="F763" s="1">
        <f t="shared" si="58"/>
        <v>0.75</v>
      </c>
      <c r="G763" s="2" t="s">
        <v>17</v>
      </c>
      <c r="H763" s="2"/>
      <c r="I763" s="2"/>
      <c r="J763" s="2"/>
      <c r="K763" s="2"/>
      <c r="L763" s="2"/>
      <c r="M763" s="10">
        <f>5.61*90+7.61*27</f>
        <v>710.37</v>
      </c>
      <c r="N763" s="10">
        <f t="shared" si="62"/>
        <v>532.77750000000003</v>
      </c>
      <c r="O763" s="2">
        <v>2019</v>
      </c>
    </row>
    <row r="764" spans="1:15" ht="18.75">
      <c r="A764" s="18" t="s">
        <v>1183</v>
      </c>
      <c r="B764" s="52" t="s">
        <v>1215</v>
      </c>
      <c r="C764" s="2" t="s">
        <v>2161</v>
      </c>
      <c r="D764" s="53" t="s">
        <v>2118</v>
      </c>
      <c r="E764" s="14" t="s">
        <v>794</v>
      </c>
      <c r="F764" s="1">
        <f t="shared" si="58"/>
        <v>0.75</v>
      </c>
      <c r="G764" s="2" t="s">
        <v>17</v>
      </c>
      <c r="H764" s="2"/>
      <c r="I764" s="2"/>
      <c r="J764" s="2"/>
      <c r="K764" s="2"/>
      <c r="L764" s="2"/>
      <c r="M764" s="10">
        <f>5.61*62+5.61*45</f>
        <v>600.27</v>
      </c>
      <c r="N764" s="10">
        <f t="shared" si="62"/>
        <v>450.20249999999999</v>
      </c>
      <c r="O764" s="2">
        <v>2019</v>
      </c>
    </row>
    <row r="765" spans="1:15" ht="18.75">
      <c r="A765" s="18" t="s">
        <v>1183</v>
      </c>
      <c r="B765" s="52" t="s">
        <v>1216</v>
      </c>
      <c r="C765" s="2" t="s">
        <v>2161</v>
      </c>
      <c r="D765" s="53" t="s">
        <v>2119</v>
      </c>
      <c r="E765" s="14" t="s">
        <v>794</v>
      </c>
      <c r="F765" s="1">
        <f t="shared" si="58"/>
        <v>0.75</v>
      </c>
      <c r="G765" s="2" t="s">
        <v>17</v>
      </c>
      <c r="H765" s="2"/>
      <c r="I765" s="2"/>
      <c r="J765" s="2"/>
      <c r="K765" s="2"/>
      <c r="L765" s="2"/>
      <c r="M765" s="10">
        <f>7*86+10*27</f>
        <v>872</v>
      </c>
      <c r="N765" s="10">
        <f t="shared" si="62"/>
        <v>654</v>
      </c>
      <c r="O765" s="2">
        <v>2019</v>
      </c>
    </row>
    <row r="766" spans="1:15" ht="18.75">
      <c r="A766" s="18" t="s">
        <v>1183</v>
      </c>
      <c r="B766" s="52" t="s">
        <v>1217</v>
      </c>
      <c r="C766" s="2" t="s">
        <v>2161</v>
      </c>
      <c r="D766" s="53" t="s">
        <v>2120</v>
      </c>
      <c r="E766" s="14" t="s">
        <v>794</v>
      </c>
      <c r="F766" s="1">
        <f t="shared" si="58"/>
        <v>0.5</v>
      </c>
      <c r="G766" s="2" t="s">
        <v>21</v>
      </c>
      <c r="H766" s="2"/>
      <c r="I766" s="2"/>
      <c r="J766" s="2"/>
      <c r="K766" s="2"/>
      <c r="L766" s="2"/>
      <c r="M766" s="10">
        <f>12*96+16*24</f>
        <v>1536</v>
      </c>
      <c r="N766" s="10">
        <f t="shared" si="62"/>
        <v>768</v>
      </c>
      <c r="O766" s="2">
        <v>2019</v>
      </c>
    </row>
    <row r="767" spans="1:15" ht="18.75">
      <c r="A767" s="18" t="s">
        <v>1183</v>
      </c>
      <c r="B767" s="52" t="s">
        <v>2121</v>
      </c>
      <c r="C767" s="2" t="s">
        <v>2161</v>
      </c>
      <c r="D767" s="2">
        <v>210</v>
      </c>
      <c r="E767" s="14" t="s">
        <v>794</v>
      </c>
      <c r="F767" s="1">
        <f t="shared" si="58"/>
        <v>0.75</v>
      </c>
      <c r="G767" s="2" t="s">
        <v>17</v>
      </c>
      <c r="H767" s="2"/>
      <c r="I767" s="2"/>
      <c r="J767" s="2"/>
      <c r="K767" s="2"/>
      <c r="L767" s="2"/>
      <c r="M767" s="10">
        <f>3.74*210</f>
        <v>785.40000000000009</v>
      </c>
      <c r="N767" s="10">
        <f t="shared" si="62"/>
        <v>589.05000000000007</v>
      </c>
      <c r="O767" s="2">
        <v>2019</v>
      </c>
    </row>
    <row r="768" spans="1:15">
      <c r="B768" s="49" t="s">
        <v>1185</v>
      </c>
      <c r="C768" s="2"/>
      <c r="D768" s="2"/>
      <c r="E768" s="14"/>
      <c r="F768" s="2"/>
      <c r="G768" s="2"/>
      <c r="H768" s="2"/>
      <c r="I768" s="2"/>
      <c r="J768" s="2"/>
      <c r="K768" s="2"/>
      <c r="L768" s="2"/>
      <c r="M768" s="10"/>
      <c r="N768" s="10"/>
      <c r="O768" s="2"/>
    </row>
    <row r="769" spans="1:15" ht="18.75">
      <c r="A769" s="18" t="s">
        <v>1183</v>
      </c>
      <c r="B769" s="52" t="s">
        <v>2122</v>
      </c>
      <c r="C769" s="2" t="s">
        <v>2161</v>
      </c>
      <c r="D769" s="2">
        <v>169</v>
      </c>
      <c r="E769" s="14" t="s">
        <v>794</v>
      </c>
      <c r="F769" s="1">
        <f t="shared" si="58"/>
        <v>0.5</v>
      </c>
      <c r="G769" s="2" t="s">
        <v>21</v>
      </c>
      <c r="H769" s="2"/>
      <c r="I769" s="2"/>
      <c r="J769" s="2"/>
      <c r="K769" s="2"/>
      <c r="L769" s="2"/>
      <c r="M769" s="10">
        <f>5.54*169</f>
        <v>936.26</v>
      </c>
      <c r="N769" s="10">
        <f>F769*M769</f>
        <v>468.13</v>
      </c>
      <c r="O769" s="2">
        <v>2019</v>
      </c>
    </row>
    <row r="770" spans="1:15" ht="18.75">
      <c r="A770" s="18" t="s">
        <v>1183</v>
      </c>
      <c r="B770" s="52" t="s">
        <v>2123</v>
      </c>
      <c r="C770" s="2" t="s">
        <v>2161</v>
      </c>
      <c r="D770" s="2">
        <v>6</v>
      </c>
      <c r="E770" s="14" t="s">
        <v>794</v>
      </c>
      <c r="F770" s="1">
        <f t="shared" si="58"/>
        <v>0.75</v>
      </c>
      <c r="G770" s="2" t="s">
        <v>17</v>
      </c>
      <c r="H770" s="2"/>
      <c r="I770" s="2"/>
      <c r="J770" s="2"/>
      <c r="K770" s="2"/>
      <c r="L770" s="2"/>
      <c r="M770" s="10">
        <f>8.06*6</f>
        <v>48.36</v>
      </c>
      <c r="N770" s="10">
        <f>F770*M770</f>
        <v>36.269999999999996</v>
      </c>
      <c r="O770" s="2">
        <v>2019</v>
      </c>
    </row>
    <row r="771" spans="1:15" ht="18.75">
      <c r="A771" s="18" t="s">
        <v>1183</v>
      </c>
      <c r="B771" s="52" t="s">
        <v>2124</v>
      </c>
      <c r="C771" s="2" t="s">
        <v>2161</v>
      </c>
      <c r="D771" s="2">
        <v>5</v>
      </c>
      <c r="E771" s="14" t="s">
        <v>794</v>
      </c>
      <c r="F771" s="1">
        <f t="shared" si="58"/>
        <v>0.75</v>
      </c>
      <c r="G771" s="2" t="s">
        <v>17</v>
      </c>
      <c r="H771" s="2"/>
      <c r="I771" s="2"/>
      <c r="J771" s="2"/>
      <c r="K771" s="2"/>
      <c r="L771" s="2"/>
      <c r="M771" s="10">
        <f>5*5</f>
        <v>25</v>
      </c>
      <c r="N771" s="10">
        <f>F771*M771</f>
        <v>18.75</v>
      </c>
      <c r="O771" s="2">
        <v>2019</v>
      </c>
    </row>
    <row r="772" spans="1:15">
      <c r="B772" s="34" t="s">
        <v>1184</v>
      </c>
      <c r="C772" s="2"/>
      <c r="D772" s="2"/>
      <c r="H772" s="11"/>
      <c r="I772" s="11"/>
      <c r="J772" s="11"/>
      <c r="K772" s="11"/>
      <c r="L772" s="11"/>
      <c r="M772" s="10"/>
      <c r="N772" s="10"/>
      <c r="O772" s="11"/>
    </row>
    <row r="773" spans="1:15" ht="18.75">
      <c r="A773" s="18" t="s">
        <v>1183</v>
      </c>
      <c r="B773" s="52" t="s">
        <v>2126</v>
      </c>
      <c r="C773" s="2" t="s">
        <v>2161</v>
      </c>
      <c r="D773" s="2">
        <v>106</v>
      </c>
      <c r="E773" s="14" t="s">
        <v>794</v>
      </c>
      <c r="F773" s="1">
        <f t="shared" si="58"/>
        <v>0.75</v>
      </c>
      <c r="G773" s="2" t="s">
        <v>17</v>
      </c>
      <c r="H773" s="2"/>
      <c r="I773" s="2"/>
      <c r="J773" s="2"/>
      <c r="K773" s="2"/>
      <c r="L773" s="2"/>
      <c r="M773" s="10">
        <f>2.89*106</f>
        <v>306.34000000000003</v>
      </c>
      <c r="N773" s="10">
        <f>F773*M773</f>
        <v>229.75500000000002</v>
      </c>
      <c r="O773" s="2">
        <v>2019</v>
      </c>
    </row>
    <row r="774" spans="1:15" ht="18.75">
      <c r="A774" s="18" t="s">
        <v>1183</v>
      </c>
      <c r="B774" s="52" t="s">
        <v>2127</v>
      </c>
      <c r="C774" s="2" t="s">
        <v>2161</v>
      </c>
      <c r="D774" s="2">
        <v>87</v>
      </c>
      <c r="E774" s="14" t="s">
        <v>794</v>
      </c>
      <c r="F774" s="1">
        <f t="shared" si="58"/>
        <v>0.75</v>
      </c>
      <c r="G774" s="2" t="s">
        <v>17</v>
      </c>
      <c r="H774" s="2"/>
      <c r="I774" s="2"/>
      <c r="J774" s="2"/>
      <c r="K774" s="2"/>
      <c r="L774" s="2"/>
      <c r="M774" s="10">
        <f>0.87*87</f>
        <v>75.69</v>
      </c>
      <c r="N774" s="10">
        <f>F774*M774</f>
        <v>56.767499999999998</v>
      </c>
      <c r="O774" s="2">
        <v>2019</v>
      </c>
    </row>
    <row r="775" spans="1:15" ht="18.75">
      <c r="A775" s="18" t="s">
        <v>1183</v>
      </c>
      <c r="B775" s="52" t="s">
        <v>2128</v>
      </c>
      <c r="C775" s="2" t="s">
        <v>2161</v>
      </c>
      <c r="D775" s="2">
        <v>82</v>
      </c>
      <c r="E775" s="14" t="s">
        <v>794</v>
      </c>
      <c r="F775" s="1">
        <f t="shared" si="58"/>
        <v>0.75</v>
      </c>
      <c r="G775" s="2" t="s">
        <v>17</v>
      </c>
      <c r="H775" s="2"/>
      <c r="I775" s="2"/>
      <c r="J775" s="2"/>
      <c r="K775" s="2"/>
      <c r="L775" s="2"/>
      <c r="M775" s="10">
        <f>0.24*82</f>
        <v>19.68</v>
      </c>
      <c r="N775" s="10">
        <f>F775*M775</f>
        <v>14.76</v>
      </c>
      <c r="O775" s="2">
        <v>2019</v>
      </c>
    </row>
    <row r="776" spans="1:15" ht="18.75">
      <c r="A776" s="18" t="s">
        <v>1183</v>
      </c>
      <c r="B776" s="52" t="s">
        <v>2129</v>
      </c>
      <c r="C776" s="2" t="s">
        <v>2161</v>
      </c>
      <c r="D776" s="2">
        <v>26</v>
      </c>
      <c r="E776" s="14" t="s">
        <v>794</v>
      </c>
      <c r="F776" s="1">
        <f t="shared" si="58"/>
        <v>0.75</v>
      </c>
      <c r="G776" s="2" t="s">
        <v>17</v>
      </c>
      <c r="H776" s="2"/>
      <c r="I776" s="2"/>
      <c r="J776" s="2"/>
      <c r="K776" s="2"/>
      <c r="L776" s="2"/>
      <c r="M776" s="10">
        <f>1.36*26</f>
        <v>35.36</v>
      </c>
      <c r="N776" s="10">
        <f>F776*M776</f>
        <v>26.52</v>
      </c>
      <c r="O776" s="2">
        <v>2019</v>
      </c>
    </row>
    <row r="777" spans="1:15">
      <c r="B777" s="34" t="s">
        <v>1218</v>
      </c>
      <c r="C777" s="2"/>
      <c r="D777" s="2"/>
      <c r="H777" s="11"/>
      <c r="I777" s="11"/>
      <c r="J777" s="11"/>
      <c r="K777" s="11"/>
      <c r="L777" s="11"/>
      <c r="M777" s="10"/>
      <c r="N777" s="10"/>
      <c r="O777" s="11"/>
    </row>
    <row r="778" spans="1:15" ht="18.75">
      <c r="A778" s="18" t="s">
        <v>1183</v>
      </c>
      <c r="B778" s="52" t="s">
        <v>2130</v>
      </c>
      <c r="C778" s="2" t="s">
        <v>2161</v>
      </c>
      <c r="D778" s="2">
        <v>6</v>
      </c>
      <c r="E778" s="14" t="s">
        <v>2433</v>
      </c>
      <c r="F778" s="1">
        <f t="shared" si="58"/>
        <v>0.5</v>
      </c>
      <c r="G778" s="2" t="s">
        <v>21</v>
      </c>
      <c r="H778" s="2"/>
      <c r="I778" s="2"/>
      <c r="J778" s="2"/>
      <c r="K778" s="2"/>
      <c r="L778" s="2"/>
      <c r="M778" s="10">
        <f>28.34*6</f>
        <v>170.04</v>
      </c>
      <c r="N778" s="10">
        <f>F778*M778</f>
        <v>85.02</v>
      </c>
      <c r="O778" s="2">
        <v>2017</v>
      </c>
    </row>
    <row r="779" spans="1:15" ht="18.75">
      <c r="A779" s="18" t="s">
        <v>1183</v>
      </c>
      <c r="B779" s="52" t="s">
        <v>2131</v>
      </c>
      <c r="C779" s="2" t="s">
        <v>2161</v>
      </c>
      <c r="D779" s="2">
        <v>6</v>
      </c>
      <c r="E779" s="14" t="s">
        <v>2451</v>
      </c>
      <c r="F779" s="1">
        <f t="shared" si="58"/>
        <v>0.5</v>
      </c>
      <c r="G779" s="2" t="s">
        <v>21</v>
      </c>
      <c r="H779" s="2"/>
      <c r="I779" s="2"/>
      <c r="J779" s="2"/>
      <c r="K779" s="2"/>
      <c r="L779" s="2"/>
      <c r="M779" s="10">
        <f>2.56*6</f>
        <v>15.36</v>
      </c>
      <c r="N779" s="10">
        <f>F779*M779</f>
        <v>7.68</v>
      </c>
      <c r="O779" s="2">
        <v>2017</v>
      </c>
    </row>
    <row r="780" spans="1:15" ht="18.75">
      <c r="A780" s="18" t="s">
        <v>1183</v>
      </c>
      <c r="B780" s="52" t="s">
        <v>2132</v>
      </c>
      <c r="C780" s="2" t="s">
        <v>2161</v>
      </c>
      <c r="D780" s="2">
        <v>10</v>
      </c>
      <c r="E780" s="14" t="s">
        <v>2451</v>
      </c>
      <c r="F780" s="1">
        <f t="shared" si="58"/>
        <v>0.5</v>
      </c>
      <c r="G780" s="2" t="s">
        <v>21</v>
      </c>
      <c r="H780" s="2"/>
      <c r="I780" s="2"/>
      <c r="J780" s="2"/>
      <c r="K780" s="2"/>
      <c r="L780" s="2"/>
      <c r="M780" s="10">
        <f>1.09*10</f>
        <v>10.9</v>
      </c>
      <c r="N780" s="10">
        <f>F780*M780</f>
        <v>5.45</v>
      </c>
      <c r="O780" s="2">
        <v>2017</v>
      </c>
    </row>
    <row r="781" spans="1:15">
      <c r="B781" s="49" t="s">
        <v>1094</v>
      </c>
      <c r="C781" s="50"/>
      <c r="D781" s="2"/>
      <c r="E781" s="51"/>
      <c r="F781" s="50"/>
      <c r="G781" s="50"/>
      <c r="H781" s="50"/>
      <c r="I781" s="2"/>
      <c r="J781" s="2"/>
      <c r="K781" s="2"/>
      <c r="L781" s="2"/>
      <c r="M781" s="10"/>
      <c r="N781" s="10"/>
      <c r="O781" s="2"/>
    </row>
    <row r="782" spans="1:15" ht="18.75">
      <c r="A782" s="18" t="s">
        <v>1183</v>
      </c>
      <c r="B782" s="52" t="s">
        <v>1219</v>
      </c>
      <c r="C782" s="2" t="s">
        <v>2161</v>
      </c>
      <c r="D782" s="2">
        <v>1</v>
      </c>
      <c r="E782" s="14" t="s">
        <v>794</v>
      </c>
      <c r="F782" s="1">
        <f t="shared" si="58"/>
        <v>0.5</v>
      </c>
      <c r="G782" s="2" t="s">
        <v>21</v>
      </c>
      <c r="H782" s="2"/>
      <c r="I782" s="2"/>
      <c r="J782" s="2"/>
      <c r="K782" s="2"/>
      <c r="L782" s="2"/>
      <c r="M782" s="10">
        <v>12.92</v>
      </c>
      <c r="N782" s="10">
        <f t="shared" ref="N782:N791" si="63">F782*M782</f>
        <v>6.46</v>
      </c>
      <c r="O782" s="2">
        <v>2018</v>
      </c>
    </row>
    <row r="783" spans="1:15" ht="18.75">
      <c r="A783" s="18" t="s">
        <v>1183</v>
      </c>
      <c r="B783" s="52" t="s">
        <v>1220</v>
      </c>
      <c r="C783" s="2" t="s">
        <v>2161</v>
      </c>
      <c r="D783" s="2">
        <v>3</v>
      </c>
      <c r="E783" s="14" t="s">
        <v>2362</v>
      </c>
      <c r="F783" s="1">
        <f t="shared" si="58"/>
        <v>0.5</v>
      </c>
      <c r="G783" s="2" t="s">
        <v>21</v>
      </c>
      <c r="H783" s="2"/>
      <c r="I783" s="2"/>
      <c r="J783" s="2"/>
      <c r="K783" s="2"/>
      <c r="L783" s="2"/>
      <c r="M783" s="10">
        <f>14.39*3</f>
        <v>43.17</v>
      </c>
      <c r="N783" s="10">
        <f t="shared" si="63"/>
        <v>21.585000000000001</v>
      </c>
      <c r="O783" s="2">
        <v>2018</v>
      </c>
    </row>
    <row r="784" spans="1:15" ht="18.75">
      <c r="A784" s="18" t="s">
        <v>1183</v>
      </c>
      <c r="B784" s="52" t="s">
        <v>1221</v>
      </c>
      <c r="C784" s="2" t="s">
        <v>2161</v>
      </c>
      <c r="D784" s="2">
        <v>2</v>
      </c>
      <c r="E784" s="14" t="s">
        <v>2362</v>
      </c>
      <c r="F784" s="1">
        <f t="shared" si="58"/>
        <v>0.5</v>
      </c>
      <c r="G784" s="2" t="s">
        <v>21</v>
      </c>
      <c r="H784" s="2"/>
      <c r="I784" s="2"/>
      <c r="J784" s="2"/>
      <c r="K784" s="2"/>
      <c r="L784" s="2"/>
      <c r="M784" s="10">
        <f>14.92*2</f>
        <v>29.84</v>
      </c>
      <c r="N784" s="46">
        <f t="shared" si="63"/>
        <v>14.92</v>
      </c>
      <c r="O784" s="2">
        <v>2018</v>
      </c>
    </row>
    <row r="785" spans="1:15" ht="18.75">
      <c r="A785" s="18" t="s">
        <v>1183</v>
      </c>
      <c r="B785" s="52" t="s">
        <v>1222</v>
      </c>
      <c r="C785" s="2" t="s">
        <v>2161</v>
      </c>
      <c r="D785" s="2">
        <v>31</v>
      </c>
      <c r="E785" s="14" t="s">
        <v>2362</v>
      </c>
      <c r="F785" s="1">
        <f t="shared" si="58"/>
        <v>0.5</v>
      </c>
      <c r="G785" s="2" t="s">
        <v>21</v>
      </c>
      <c r="H785" s="2"/>
      <c r="I785" s="2"/>
      <c r="J785" s="2"/>
      <c r="K785" s="2"/>
      <c r="L785" s="2"/>
      <c r="M785" s="10">
        <f>16.86*31</f>
        <v>522.66</v>
      </c>
      <c r="N785" s="10">
        <f t="shared" si="63"/>
        <v>261.33</v>
      </c>
      <c r="O785" s="2">
        <v>2018</v>
      </c>
    </row>
    <row r="786" spans="1:15" ht="18.75">
      <c r="A786" s="18" t="s">
        <v>1183</v>
      </c>
      <c r="B786" s="52" t="s">
        <v>1223</v>
      </c>
      <c r="C786" s="2" t="s">
        <v>2161</v>
      </c>
      <c r="D786" s="2">
        <v>112</v>
      </c>
      <c r="E786" s="14" t="s">
        <v>1224</v>
      </c>
      <c r="F786" s="1">
        <f t="shared" si="58"/>
        <v>0.5</v>
      </c>
      <c r="G786" s="2" t="s">
        <v>21</v>
      </c>
      <c r="H786" s="2"/>
      <c r="I786" s="2"/>
      <c r="J786" s="2"/>
      <c r="K786" s="2"/>
      <c r="L786" s="2"/>
      <c r="M786" s="10">
        <f>7.97*(23+27+8+19+19+16)</f>
        <v>892.64</v>
      </c>
      <c r="N786" s="10">
        <f t="shared" si="63"/>
        <v>446.32</v>
      </c>
      <c r="O786" s="2">
        <v>2019</v>
      </c>
    </row>
    <row r="787" spans="1:15" ht="18.75">
      <c r="A787" s="18" t="s">
        <v>1183</v>
      </c>
      <c r="B787" s="52" t="s">
        <v>1225</v>
      </c>
      <c r="C787" s="2" t="s">
        <v>2161</v>
      </c>
      <c r="D787" s="2">
        <v>11</v>
      </c>
      <c r="E787" s="14" t="s">
        <v>2362</v>
      </c>
      <c r="F787" s="1">
        <f t="shared" si="58"/>
        <v>0.5</v>
      </c>
      <c r="G787" s="2" t="s">
        <v>21</v>
      </c>
      <c r="H787" s="2"/>
      <c r="I787" s="2"/>
      <c r="J787" s="2"/>
      <c r="K787" s="2"/>
      <c r="L787" s="2"/>
      <c r="M787" s="10">
        <f>12.45*11</f>
        <v>136.94999999999999</v>
      </c>
      <c r="N787" s="10">
        <f t="shared" si="63"/>
        <v>68.474999999999994</v>
      </c>
      <c r="O787" s="2">
        <v>2018</v>
      </c>
    </row>
    <row r="788" spans="1:15" ht="18.75">
      <c r="A788" s="18" t="s">
        <v>1183</v>
      </c>
      <c r="B788" s="52" t="s">
        <v>1226</v>
      </c>
      <c r="C788" s="2" t="s">
        <v>2161</v>
      </c>
      <c r="D788" s="2">
        <v>26</v>
      </c>
      <c r="E788" s="14" t="s">
        <v>1227</v>
      </c>
      <c r="F788" s="1">
        <f t="shared" si="58"/>
        <v>0.5</v>
      </c>
      <c r="G788" s="2" t="s">
        <v>21</v>
      </c>
      <c r="H788" s="2"/>
      <c r="I788" s="2"/>
      <c r="J788" s="2"/>
      <c r="K788" s="2"/>
      <c r="L788" s="2"/>
      <c r="M788" s="10">
        <f>12.94*(8+18)</f>
        <v>336.44</v>
      </c>
      <c r="N788" s="10">
        <f t="shared" si="63"/>
        <v>168.22</v>
      </c>
      <c r="O788" s="2">
        <v>2018</v>
      </c>
    </row>
    <row r="789" spans="1:15" ht="18.75">
      <c r="A789" s="18" t="s">
        <v>1183</v>
      </c>
      <c r="B789" s="52" t="s">
        <v>1228</v>
      </c>
      <c r="C789" s="2" t="s">
        <v>2161</v>
      </c>
      <c r="D789" s="2">
        <v>13</v>
      </c>
      <c r="E789" s="14" t="s">
        <v>2362</v>
      </c>
      <c r="F789" s="1">
        <f t="shared" si="58"/>
        <v>0.5</v>
      </c>
      <c r="G789" s="2" t="s">
        <v>21</v>
      </c>
      <c r="H789" s="2"/>
      <c r="I789" s="2"/>
      <c r="J789" s="2"/>
      <c r="K789" s="2"/>
      <c r="L789" s="2"/>
      <c r="M789" s="10">
        <f>13.88*13</f>
        <v>180.44</v>
      </c>
      <c r="N789" s="10">
        <f t="shared" si="63"/>
        <v>90.22</v>
      </c>
      <c r="O789" s="2">
        <v>2018</v>
      </c>
    </row>
    <row r="790" spans="1:15" ht="18.75">
      <c r="A790" s="18" t="s">
        <v>1183</v>
      </c>
      <c r="B790" s="52" t="s">
        <v>1229</v>
      </c>
      <c r="C790" s="2" t="s">
        <v>2161</v>
      </c>
      <c r="D790" s="2">
        <v>9</v>
      </c>
      <c r="E790" s="14" t="s">
        <v>2363</v>
      </c>
      <c r="F790" s="1">
        <f t="shared" si="58"/>
        <v>0.5</v>
      </c>
      <c r="G790" s="2" t="s">
        <v>21</v>
      </c>
      <c r="H790" s="2"/>
      <c r="I790" s="2"/>
      <c r="J790" s="2"/>
      <c r="K790" s="2"/>
      <c r="L790" s="2"/>
      <c r="M790" s="10">
        <f>82*9</f>
        <v>738</v>
      </c>
      <c r="N790" s="10">
        <f t="shared" si="63"/>
        <v>369</v>
      </c>
      <c r="O790" s="2">
        <v>2018</v>
      </c>
    </row>
    <row r="791" spans="1:15" s="90" customFormat="1">
      <c r="A791" s="18" t="s">
        <v>1183</v>
      </c>
      <c r="B791" s="129" t="s">
        <v>2443</v>
      </c>
      <c r="C791" s="98"/>
      <c r="D791" s="86">
        <v>132</v>
      </c>
      <c r="E791" s="86" t="s">
        <v>2444</v>
      </c>
      <c r="F791" s="86">
        <v>0.75</v>
      </c>
      <c r="G791" s="86" t="s">
        <v>17</v>
      </c>
      <c r="H791" s="86"/>
      <c r="I791" s="86"/>
      <c r="J791" s="86"/>
      <c r="K791" s="86"/>
      <c r="L791" s="86"/>
      <c r="M791" s="88">
        <f>12.99*132/24</f>
        <v>71.445000000000007</v>
      </c>
      <c r="N791" s="10">
        <f t="shared" si="63"/>
        <v>53.583750000000009</v>
      </c>
      <c r="O791" s="130">
        <v>2018</v>
      </c>
    </row>
    <row r="793" spans="1:15" ht="18" customHeight="1">
      <c r="A793" s="8" t="s">
        <v>1312</v>
      </c>
      <c r="B793" s="9" t="s">
        <v>1313</v>
      </c>
      <c r="C793" s="2" t="s">
        <v>2058</v>
      </c>
      <c r="D793" s="2">
        <v>119</v>
      </c>
      <c r="E793" s="2" t="s">
        <v>1314</v>
      </c>
      <c r="F793" s="1">
        <f t="shared" si="58"/>
        <v>0.75</v>
      </c>
      <c r="G793" s="2" t="s">
        <v>17</v>
      </c>
      <c r="H793" s="2"/>
      <c r="I793" s="2"/>
      <c r="J793" s="2"/>
      <c r="K793" s="2"/>
      <c r="L793" s="2"/>
      <c r="M793" s="10">
        <f>85*2.48+34*3.67</f>
        <v>335.58000000000004</v>
      </c>
      <c r="N793" s="10">
        <f t="shared" ref="N793:N800" si="64">F793*M793</f>
        <v>251.68500000000003</v>
      </c>
      <c r="O793" s="2"/>
    </row>
    <row r="794" spans="1:15" ht="18" customHeight="1">
      <c r="A794" s="8" t="s">
        <v>1312</v>
      </c>
      <c r="B794" s="9" t="s">
        <v>1315</v>
      </c>
      <c r="C794" s="2" t="s">
        <v>2058</v>
      </c>
      <c r="D794" s="2">
        <v>22</v>
      </c>
      <c r="E794" s="2" t="s">
        <v>1316</v>
      </c>
      <c r="F794" s="1">
        <f t="shared" ref="F794:F800" si="65">IF(G794="fair",0.5,0)+IF(G794="good",0.75,0)+IF(G794="poor",0.25,0)+IF(G794="like new",0.9,0)+IF(G794="new",1,0)</f>
        <v>0.75</v>
      </c>
      <c r="G794" s="2" t="s">
        <v>17</v>
      </c>
      <c r="H794" s="2"/>
      <c r="I794" s="2"/>
      <c r="J794" s="2"/>
      <c r="K794" s="2"/>
      <c r="L794" s="2"/>
      <c r="M794" s="10">
        <f>3.49*10+1.75*12</f>
        <v>55.900000000000006</v>
      </c>
      <c r="N794" s="10">
        <f t="shared" si="64"/>
        <v>41.925000000000004</v>
      </c>
      <c r="O794" s="2"/>
    </row>
    <row r="795" spans="1:15" ht="18" customHeight="1">
      <c r="A795" s="8" t="s">
        <v>1312</v>
      </c>
      <c r="B795" s="9" t="s">
        <v>1317</v>
      </c>
      <c r="C795" s="2" t="s">
        <v>2161</v>
      </c>
      <c r="D795" s="2">
        <v>4</v>
      </c>
      <c r="E795" s="2" t="s">
        <v>2364</v>
      </c>
      <c r="F795" s="1">
        <f t="shared" si="65"/>
        <v>0.5</v>
      </c>
      <c r="G795" s="2" t="s">
        <v>21</v>
      </c>
      <c r="H795" s="2" t="s">
        <v>1318</v>
      </c>
      <c r="I795" s="2"/>
      <c r="J795" s="2"/>
      <c r="K795" s="2"/>
      <c r="L795" s="2"/>
      <c r="M795" s="10">
        <f>169*4</f>
        <v>676</v>
      </c>
      <c r="N795" s="10">
        <f t="shared" si="64"/>
        <v>338</v>
      </c>
      <c r="O795" s="2">
        <v>2017</v>
      </c>
    </row>
    <row r="796" spans="1:15" ht="18" customHeight="1">
      <c r="A796" s="8" t="s">
        <v>1312</v>
      </c>
      <c r="B796" s="9" t="s">
        <v>1319</v>
      </c>
      <c r="C796" s="2" t="s">
        <v>2161</v>
      </c>
      <c r="D796" s="2">
        <v>1</v>
      </c>
      <c r="E796" s="2" t="s">
        <v>1320</v>
      </c>
      <c r="F796" s="1">
        <f t="shared" si="65"/>
        <v>0.75</v>
      </c>
      <c r="G796" s="2" t="s">
        <v>17</v>
      </c>
      <c r="H796" s="2"/>
      <c r="I796" s="2"/>
      <c r="J796" s="2"/>
      <c r="K796" s="2"/>
      <c r="L796" s="2"/>
      <c r="M796" s="10">
        <f>27.99</f>
        <v>27.99</v>
      </c>
      <c r="N796" s="10">
        <f t="shared" si="64"/>
        <v>20.9925</v>
      </c>
      <c r="O796" s="2"/>
    </row>
    <row r="797" spans="1:15" ht="18" customHeight="1">
      <c r="A797" s="8" t="s">
        <v>1312</v>
      </c>
      <c r="B797" s="9" t="s">
        <v>1322</v>
      </c>
      <c r="C797" s="2" t="s">
        <v>2161</v>
      </c>
      <c r="D797" s="2">
        <v>4</v>
      </c>
      <c r="E797" s="2" t="s">
        <v>2365</v>
      </c>
      <c r="F797" s="1">
        <f t="shared" si="65"/>
        <v>0.75</v>
      </c>
      <c r="G797" s="2" t="s">
        <v>17</v>
      </c>
      <c r="H797" s="2"/>
      <c r="I797" s="2"/>
      <c r="J797" s="2"/>
      <c r="K797" s="2"/>
      <c r="L797" s="2"/>
      <c r="M797" s="10">
        <f>179.95*4</f>
        <v>719.8</v>
      </c>
      <c r="N797" s="10">
        <f t="shared" si="64"/>
        <v>539.84999999999991</v>
      </c>
      <c r="O797" s="2">
        <v>2017</v>
      </c>
    </row>
    <row r="798" spans="1:15" ht="18" customHeight="1">
      <c r="A798" s="8" t="s">
        <v>1312</v>
      </c>
      <c r="B798" s="9" t="s">
        <v>1323</v>
      </c>
      <c r="C798" s="2" t="s">
        <v>2161</v>
      </c>
      <c r="D798" s="2">
        <v>3</v>
      </c>
      <c r="E798" s="2" t="s">
        <v>2366</v>
      </c>
      <c r="F798" s="1">
        <f t="shared" si="65"/>
        <v>0.25</v>
      </c>
      <c r="G798" s="2" t="s">
        <v>143</v>
      </c>
      <c r="H798" s="2"/>
      <c r="I798" s="2"/>
      <c r="J798" s="2"/>
      <c r="K798" s="2"/>
      <c r="L798" s="2"/>
      <c r="M798" s="10">
        <f>145*3</f>
        <v>435</v>
      </c>
      <c r="N798" s="10">
        <f t="shared" si="64"/>
        <v>108.75</v>
      </c>
      <c r="O798" s="2">
        <v>2012</v>
      </c>
    </row>
    <row r="799" spans="1:15" ht="18.75">
      <c r="A799" s="8" t="s">
        <v>1312</v>
      </c>
      <c r="B799" s="9" t="s">
        <v>585</v>
      </c>
      <c r="C799" s="2" t="s">
        <v>2161</v>
      </c>
      <c r="D799" s="2">
        <v>1</v>
      </c>
      <c r="E799" s="2" t="s">
        <v>1324</v>
      </c>
      <c r="F799" s="1">
        <f t="shared" si="65"/>
        <v>0.25</v>
      </c>
      <c r="G799" s="2" t="s">
        <v>143</v>
      </c>
      <c r="H799" s="33"/>
      <c r="I799" s="33"/>
      <c r="J799" s="33"/>
      <c r="K799" s="33"/>
      <c r="L799" s="33"/>
      <c r="M799" s="54">
        <v>15</v>
      </c>
      <c r="N799" s="10">
        <f t="shared" si="64"/>
        <v>3.75</v>
      </c>
      <c r="O799" s="33"/>
    </row>
    <row r="800" spans="1:15" ht="18.75">
      <c r="A800" s="8" t="s">
        <v>1312</v>
      </c>
      <c r="B800" s="9" t="s">
        <v>1325</v>
      </c>
      <c r="C800" s="2" t="s">
        <v>2161</v>
      </c>
      <c r="D800" s="2">
        <v>16</v>
      </c>
      <c r="E800" s="2" t="s">
        <v>1326</v>
      </c>
      <c r="F800" s="1">
        <f t="shared" si="65"/>
        <v>0.5</v>
      </c>
      <c r="G800" s="2" t="s">
        <v>21</v>
      </c>
      <c r="H800" s="33"/>
      <c r="I800" s="33"/>
      <c r="J800" s="33"/>
      <c r="K800" s="33"/>
      <c r="L800" s="33"/>
      <c r="M800" s="44">
        <f>7*16</f>
        <v>112</v>
      </c>
      <c r="N800" s="10">
        <f t="shared" si="64"/>
        <v>56</v>
      </c>
      <c r="O800" s="33"/>
    </row>
    <row r="802" spans="1:16" s="90" customFormat="1" ht="18.75">
      <c r="A802" s="8" t="s">
        <v>1604</v>
      </c>
      <c r="B802" s="129" t="s">
        <v>1327</v>
      </c>
      <c r="C802" s="86" t="s">
        <v>95</v>
      </c>
      <c r="D802" s="86">
        <v>3</v>
      </c>
      <c r="E802" s="86" t="s">
        <v>2448</v>
      </c>
      <c r="F802" s="1">
        <f t="shared" ref="F802:F847" si="66">IF(G802="fair",0.5,0)+IF(G802="good",0.75,0)+IF(G802="poor",0.25,0)+IF(G802="like new",0.9,0)+IF(G802="new",1,0)</f>
        <v>0.75</v>
      </c>
      <c r="G802" s="86" t="s">
        <v>17</v>
      </c>
      <c r="H802" s="86" t="s">
        <v>1328</v>
      </c>
      <c r="I802" s="86"/>
      <c r="J802" s="86"/>
      <c r="K802" s="86"/>
      <c r="L802" s="86"/>
      <c r="M802" s="88">
        <f>4.99*3</f>
        <v>14.97</v>
      </c>
      <c r="N802" s="10">
        <f t="shared" ref="N802:N843" si="67">F802*M802</f>
        <v>11.227500000000001</v>
      </c>
      <c r="O802" s="88"/>
    </row>
    <row r="803" spans="1:16" s="90" customFormat="1" ht="18.75">
      <c r="A803" s="8" t="s">
        <v>1604</v>
      </c>
      <c r="B803" s="129" t="s">
        <v>1331</v>
      </c>
      <c r="C803" s="86" t="s">
        <v>95</v>
      </c>
      <c r="D803" s="86">
        <v>4</v>
      </c>
      <c r="E803" s="86" t="s">
        <v>2150</v>
      </c>
      <c r="F803" s="1">
        <f t="shared" si="66"/>
        <v>0.5</v>
      </c>
      <c r="G803" s="86" t="s">
        <v>21</v>
      </c>
      <c r="H803" s="86" t="s">
        <v>1332</v>
      </c>
      <c r="I803" s="86" t="s">
        <v>1333</v>
      </c>
      <c r="J803" s="86"/>
      <c r="K803" s="86"/>
      <c r="L803" s="86"/>
      <c r="M803" s="88">
        <f>61.98*4</f>
        <v>247.92</v>
      </c>
      <c r="N803" s="10">
        <f t="shared" si="67"/>
        <v>123.96</v>
      </c>
      <c r="O803" s="88"/>
    </row>
    <row r="804" spans="1:16" ht="18.75">
      <c r="A804" s="8" t="s">
        <v>1604</v>
      </c>
      <c r="B804" s="9" t="s">
        <v>1605</v>
      </c>
      <c r="C804" s="2" t="s">
        <v>2161</v>
      </c>
      <c r="D804" s="2">
        <v>1</v>
      </c>
      <c r="E804" s="2" t="s">
        <v>1606</v>
      </c>
      <c r="F804" s="1">
        <f t="shared" si="66"/>
        <v>0.5</v>
      </c>
      <c r="G804" s="2" t="s">
        <v>21</v>
      </c>
      <c r="H804" s="14"/>
      <c r="I804" s="2"/>
      <c r="J804" s="13"/>
      <c r="K804" s="13"/>
      <c r="L804" s="13"/>
      <c r="M804" s="10">
        <v>8.99</v>
      </c>
      <c r="N804" s="10">
        <f t="shared" si="67"/>
        <v>4.4950000000000001</v>
      </c>
      <c r="O804" s="13"/>
      <c r="P804" s="55"/>
    </row>
    <row r="805" spans="1:16" ht="18.75">
      <c r="A805" s="8" t="s">
        <v>1604</v>
      </c>
      <c r="B805" s="9" t="s">
        <v>1607</v>
      </c>
      <c r="C805" s="2" t="s">
        <v>2161</v>
      </c>
      <c r="D805" s="2">
        <v>64</v>
      </c>
      <c r="E805" s="2" t="s">
        <v>2367</v>
      </c>
      <c r="F805" s="1">
        <f t="shared" si="66"/>
        <v>0.5</v>
      </c>
      <c r="G805" s="2" t="s">
        <v>21</v>
      </c>
      <c r="H805" s="14"/>
      <c r="I805" s="2"/>
      <c r="J805" s="13"/>
      <c r="K805" s="13"/>
      <c r="L805" s="13"/>
      <c r="M805" s="10">
        <f>7*64</f>
        <v>448</v>
      </c>
      <c r="N805" s="10">
        <f t="shared" si="67"/>
        <v>224</v>
      </c>
      <c r="O805" s="13"/>
      <c r="P805" s="55"/>
    </row>
    <row r="806" spans="1:16" ht="18.75">
      <c r="A806" s="8" t="s">
        <v>1604</v>
      </c>
      <c r="B806" s="9" t="s">
        <v>1608</v>
      </c>
      <c r="C806" s="2" t="s">
        <v>2161</v>
      </c>
      <c r="D806" s="2">
        <v>17</v>
      </c>
      <c r="E806" s="2" t="s">
        <v>2368</v>
      </c>
      <c r="F806" s="1">
        <f t="shared" si="66"/>
        <v>0.5</v>
      </c>
      <c r="G806" s="2" t="s">
        <v>21</v>
      </c>
      <c r="H806" s="14"/>
      <c r="I806" s="2"/>
      <c r="J806" s="13"/>
      <c r="K806" s="13"/>
      <c r="L806" s="13"/>
      <c r="M806" s="10">
        <f>10*4</f>
        <v>40</v>
      </c>
      <c r="N806" s="10">
        <f t="shared" si="67"/>
        <v>20</v>
      </c>
      <c r="O806" s="13"/>
      <c r="P806" s="55"/>
    </row>
    <row r="807" spans="1:16" ht="18.75">
      <c r="A807" s="8" t="s">
        <v>1604</v>
      </c>
      <c r="B807" s="9" t="s">
        <v>1609</v>
      </c>
      <c r="C807" s="2" t="s">
        <v>2161</v>
      </c>
      <c r="D807" s="2">
        <v>19</v>
      </c>
      <c r="E807" s="2" t="s">
        <v>2369</v>
      </c>
      <c r="F807" s="1">
        <f t="shared" si="66"/>
        <v>0.5</v>
      </c>
      <c r="G807" s="2" t="s">
        <v>21</v>
      </c>
      <c r="H807" s="14"/>
      <c r="I807" s="2"/>
      <c r="J807" s="13"/>
      <c r="K807" s="13"/>
      <c r="L807" s="13"/>
      <c r="M807" s="10">
        <f>10*19</f>
        <v>190</v>
      </c>
      <c r="N807" s="10">
        <f t="shared" si="67"/>
        <v>95</v>
      </c>
      <c r="O807" s="13">
        <v>2017</v>
      </c>
      <c r="P807" s="55"/>
    </row>
    <row r="808" spans="1:16" ht="18.75">
      <c r="A808" s="8" t="s">
        <v>1604</v>
      </c>
      <c r="B808" s="29" t="s">
        <v>1610</v>
      </c>
      <c r="C808" s="30" t="s">
        <v>2058</v>
      </c>
      <c r="D808" s="2">
        <v>66</v>
      </c>
      <c r="E808" s="30" t="s">
        <v>2370</v>
      </c>
      <c r="F808" s="1">
        <f t="shared" si="66"/>
        <v>0.5</v>
      </c>
      <c r="G808" s="2" t="s">
        <v>29</v>
      </c>
      <c r="H808" s="2" t="s">
        <v>1611</v>
      </c>
      <c r="I808" s="57" t="s">
        <v>1612</v>
      </c>
      <c r="J808" s="30"/>
      <c r="K808" s="30"/>
      <c r="L808" s="30"/>
      <c r="M808" s="31">
        <f>2.48*66</f>
        <v>163.68</v>
      </c>
      <c r="N808" s="10">
        <f t="shared" si="67"/>
        <v>81.84</v>
      </c>
      <c r="O808" s="56"/>
      <c r="P808" s="55"/>
    </row>
    <row r="809" spans="1:16" ht="18.75">
      <c r="A809" s="8" t="s">
        <v>1604</v>
      </c>
      <c r="B809" s="9" t="s">
        <v>1613</v>
      </c>
      <c r="C809" s="2" t="s">
        <v>2161</v>
      </c>
      <c r="D809" s="2">
        <v>200</v>
      </c>
      <c r="E809" s="2" t="s">
        <v>1614</v>
      </c>
      <c r="F809" s="1">
        <f t="shared" si="66"/>
        <v>0.5</v>
      </c>
      <c r="G809" s="2" t="s">
        <v>21</v>
      </c>
      <c r="H809" s="14"/>
      <c r="I809" s="2"/>
      <c r="J809" s="13"/>
      <c r="K809" s="13"/>
      <c r="L809" s="13"/>
      <c r="M809" s="10">
        <f>2.49*200</f>
        <v>498.00000000000006</v>
      </c>
      <c r="N809" s="10">
        <f t="shared" si="67"/>
        <v>249.00000000000003</v>
      </c>
      <c r="O809" s="13">
        <v>2017</v>
      </c>
      <c r="P809" s="55"/>
    </row>
    <row r="810" spans="1:16" ht="18.75">
      <c r="A810" s="8" t="s">
        <v>1604</v>
      </c>
      <c r="B810" s="9" t="s">
        <v>1615</v>
      </c>
      <c r="C810" s="2" t="s">
        <v>2161</v>
      </c>
      <c r="D810" s="2">
        <v>30</v>
      </c>
      <c r="E810" s="2" t="s">
        <v>2371</v>
      </c>
      <c r="F810" s="1">
        <f t="shared" si="66"/>
        <v>0.75</v>
      </c>
      <c r="G810" s="2" t="s">
        <v>17</v>
      </c>
      <c r="H810" s="14"/>
      <c r="I810" s="2"/>
      <c r="J810" s="13"/>
      <c r="K810" s="13"/>
      <c r="L810" s="13"/>
      <c r="M810" s="10">
        <f>0.5*30</f>
        <v>15</v>
      </c>
      <c r="N810" s="10">
        <f t="shared" si="67"/>
        <v>11.25</v>
      </c>
      <c r="O810" s="13"/>
      <c r="P810" s="55"/>
    </row>
    <row r="811" spans="1:16" ht="18.75">
      <c r="A811" s="8" t="s">
        <v>1604</v>
      </c>
      <c r="B811" s="9" t="s">
        <v>1616</v>
      </c>
      <c r="C811" s="2" t="s">
        <v>2058</v>
      </c>
      <c r="D811" s="2">
        <v>1</v>
      </c>
      <c r="E811" s="2" t="s">
        <v>1617</v>
      </c>
      <c r="F811" s="1">
        <f t="shared" si="66"/>
        <v>0.75</v>
      </c>
      <c r="G811" s="2" t="s">
        <v>16</v>
      </c>
      <c r="H811" s="14" t="s">
        <v>1618</v>
      </c>
      <c r="I811" s="2" t="s">
        <v>1619</v>
      </c>
      <c r="J811" s="13"/>
      <c r="K811" s="13"/>
      <c r="L811" s="13"/>
      <c r="M811" s="10">
        <v>44.55</v>
      </c>
      <c r="N811" s="10">
        <f t="shared" si="67"/>
        <v>33.412499999999994</v>
      </c>
      <c r="O811" s="13"/>
      <c r="P811" s="55"/>
    </row>
    <row r="812" spans="1:16" ht="18.75">
      <c r="A812" s="8" t="s">
        <v>1604</v>
      </c>
      <c r="B812" s="9" t="s">
        <v>1620</v>
      </c>
      <c r="C812" s="2" t="s">
        <v>2161</v>
      </c>
      <c r="D812" s="2">
        <v>5</v>
      </c>
      <c r="E812" s="2" t="s">
        <v>2372</v>
      </c>
      <c r="F812" s="1">
        <f t="shared" si="66"/>
        <v>0.5</v>
      </c>
      <c r="G812" s="2" t="s">
        <v>21</v>
      </c>
      <c r="H812" s="14"/>
      <c r="I812" s="2"/>
      <c r="J812" s="13"/>
      <c r="K812" s="13"/>
      <c r="L812" s="13"/>
      <c r="M812" s="10">
        <f>23*5</f>
        <v>115</v>
      </c>
      <c r="N812" s="10">
        <f t="shared" si="67"/>
        <v>57.5</v>
      </c>
      <c r="O812" s="13"/>
      <c r="P812" s="55"/>
    </row>
    <row r="813" spans="1:16" ht="18.75">
      <c r="A813" s="8" t="s">
        <v>1604</v>
      </c>
      <c r="B813" s="9" t="s">
        <v>1621</v>
      </c>
      <c r="C813" s="2" t="s">
        <v>2058</v>
      </c>
      <c r="D813" s="2">
        <v>1</v>
      </c>
      <c r="E813" s="2" t="s">
        <v>1622</v>
      </c>
      <c r="F813" s="1">
        <f t="shared" si="66"/>
        <v>0.5</v>
      </c>
      <c r="G813" s="2" t="s">
        <v>21</v>
      </c>
      <c r="H813" s="14" t="s">
        <v>1623</v>
      </c>
      <c r="I813" s="2"/>
      <c r="J813" s="13"/>
      <c r="K813" s="13"/>
      <c r="L813" s="13"/>
      <c r="M813" s="10">
        <v>180</v>
      </c>
      <c r="N813" s="10">
        <f t="shared" si="67"/>
        <v>90</v>
      </c>
      <c r="O813" s="13"/>
      <c r="P813" s="55"/>
    </row>
    <row r="814" spans="1:16" ht="18.75">
      <c r="A814" s="8" t="s">
        <v>1604</v>
      </c>
      <c r="B814" s="9" t="s">
        <v>1624</v>
      </c>
      <c r="C814" s="2" t="s">
        <v>2058</v>
      </c>
      <c r="D814" s="2">
        <v>1</v>
      </c>
      <c r="E814" s="2" t="s">
        <v>1625</v>
      </c>
      <c r="F814" s="1">
        <f t="shared" si="66"/>
        <v>0.75</v>
      </c>
      <c r="G814" s="2" t="s">
        <v>16</v>
      </c>
      <c r="H814" s="14" t="s">
        <v>413</v>
      </c>
      <c r="I814" s="2" t="s">
        <v>1626</v>
      </c>
      <c r="J814" s="13"/>
      <c r="K814" s="13"/>
      <c r="L814" s="13"/>
      <c r="M814" s="10">
        <v>361</v>
      </c>
      <c r="N814" s="10">
        <f t="shared" si="67"/>
        <v>270.75</v>
      </c>
      <c r="O814" s="13">
        <v>2016</v>
      </c>
      <c r="P814" s="55"/>
    </row>
    <row r="815" spans="1:16" ht="18.75">
      <c r="A815" s="8" t="s">
        <v>1604</v>
      </c>
      <c r="B815" s="9" t="s">
        <v>1624</v>
      </c>
      <c r="C815" s="2" t="s">
        <v>2058</v>
      </c>
      <c r="D815" s="2">
        <v>2</v>
      </c>
      <c r="E815" s="2" t="s">
        <v>2373</v>
      </c>
      <c r="F815" s="1">
        <f t="shared" si="66"/>
        <v>0.5</v>
      </c>
      <c r="G815" s="2" t="s">
        <v>21</v>
      </c>
      <c r="H815" s="14" t="s">
        <v>413</v>
      </c>
      <c r="I815" s="2" t="s">
        <v>414</v>
      </c>
      <c r="J815" s="13"/>
      <c r="K815" s="13"/>
      <c r="L815" s="13"/>
      <c r="M815" s="10">
        <f>223.51*2</f>
        <v>447.02</v>
      </c>
      <c r="N815" s="10">
        <f t="shared" si="67"/>
        <v>223.51</v>
      </c>
      <c r="O815" s="13">
        <v>2016</v>
      </c>
      <c r="P815" s="55"/>
    </row>
    <row r="816" spans="1:16" ht="18.75">
      <c r="A816" s="8" t="s">
        <v>1604</v>
      </c>
      <c r="B816" s="9" t="s">
        <v>1627</v>
      </c>
      <c r="C816" s="2" t="s">
        <v>2058</v>
      </c>
      <c r="D816" s="2">
        <v>6</v>
      </c>
      <c r="E816" s="2" t="s">
        <v>2374</v>
      </c>
      <c r="F816" s="1">
        <f t="shared" si="66"/>
        <v>0.75</v>
      </c>
      <c r="G816" s="2" t="s">
        <v>17</v>
      </c>
      <c r="H816" s="14"/>
      <c r="I816" s="2"/>
      <c r="J816" s="13"/>
      <c r="K816" s="13"/>
      <c r="L816" s="13"/>
      <c r="M816" s="10">
        <f>86.99*6+95.99</f>
        <v>617.92999999999995</v>
      </c>
      <c r="N816" s="10">
        <f t="shared" si="67"/>
        <v>463.44749999999999</v>
      </c>
      <c r="O816" s="13">
        <v>2016</v>
      </c>
      <c r="P816" s="55"/>
    </row>
    <row r="817" spans="1:16" ht="18.75">
      <c r="A817" s="8" t="s">
        <v>1604</v>
      </c>
      <c r="B817" s="9" t="s">
        <v>1628</v>
      </c>
      <c r="C817" s="2" t="s">
        <v>2058</v>
      </c>
      <c r="D817" s="2">
        <v>1</v>
      </c>
      <c r="E817" s="2" t="s">
        <v>1629</v>
      </c>
      <c r="F817" s="1">
        <f t="shared" si="66"/>
        <v>0.75</v>
      </c>
      <c r="G817" s="2" t="s">
        <v>17</v>
      </c>
      <c r="H817" s="14" t="s">
        <v>1630</v>
      </c>
      <c r="I817" s="2" t="s">
        <v>1631</v>
      </c>
      <c r="J817" s="13"/>
      <c r="K817" s="13"/>
      <c r="L817" s="13"/>
      <c r="M817" s="10">
        <v>1216</v>
      </c>
      <c r="N817" s="10">
        <f t="shared" si="67"/>
        <v>912</v>
      </c>
      <c r="O817" s="13">
        <v>2017</v>
      </c>
      <c r="P817" s="55"/>
    </row>
    <row r="818" spans="1:16" ht="27.75" customHeight="1">
      <c r="A818" s="8" t="s">
        <v>1604</v>
      </c>
      <c r="B818" s="9" t="s">
        <v>1632</v>
      </c>
      <c r="C818" s="2" t="s">
        <v>2058</v>
      </c>
      <c r="D818" s="2">
        <v>5</v>
      </c>
      <c r="E818" s="2" t="s">
        <v>2375</v>
      </c>
      <c r="F818" s="1">
        <f t="shared" si="66"/>
        <v>0.75</v>
      </c>
      <c r="G818" s="2" t="s">
        <v>16</v>
      </c>
      <c r="H818" s="14" t="s">
        <v>1633</v>
      </c>
      <c r="I818" s="2"/>
      <c r="J818" s="13"/>
      <c r="K818" s="13"/>
      <c r="L818" s="13"/>
      <c r="M818" s="10">
        <f>3.67*5</f>
        <v>18.350000000000001</v>
      </c>
      <c r="N818" s="10">
        <f t="shared" si="67"/>
        <v>13.762500000000001</v>
      </c>
      <c r="O818" s="13"/>
      <c r="P818" s="55"/>
    </row>
    <row r="819" spans="1:16" ht="18.75">
      <c r="A819" s="8" t="s">
        <v>1604</v>
      </c>
      <c r="B819" s="9" t="s">
        <v>1634</v>
      </c>
      <c r="C819" s="2" t="s">
        <v>2161</v>
      </c>
      <c r="D819" s="2">
        <v>3</v>
      </c>
      <c r="E819" s="2" t="s">
        <v>1635</v>
      </c>
      <c r="F819" s="1">
        <f t="shared" si="66"/>
        <v>0.5</v>
      </c>
      <c r="G819" s="2" t="s">
        <v>21</v>
      </c>
      <c r="H819" s="14"/>
      <c r="I819" s="2"/>
      <c r="J819" s="13"/>
      <c r="K819" s="13"/>
      <c r="L819" s="13"/>
      <c r="M819" s="10">
        <f>149.99*2+70</f>
        <v>369.98</v>
      </c>
      <c r="N819" s="10">
        <f t="shared" si="67"/>
        <v>184.99</v>
      </c>
      <c r="O819" s="13">
        <v>2014</v>
      </c>
      <c r="P819" s="55"/>
    </row>
    <row r="820" spans="1:16" ht="18.75">
      <c r="A820" s="8" t="s">
        <v>1604</v>
      </c>
      <c r="B820" s="9" t="s">
        <v>1636</v>
      </c>
      <c r="C820" s="2" t="s">
        <v>2058</v>
      </c>
      <c r="D820" s="2">
        <v>120</v>
      </c>
      <c r="E820" s="2" t="s">
        <v>2430</v>
      </c>
      <c r="F820" s="1">
        <f t="shared" si="66"/>
        <v>0.5</v>
      </c>
      <c r="G820" s="2" t="s">
        <v>21</v>
      </c>
      <c r="H820" s="14"/>
      <c r="I820" s="2"/>
      <c r="J820" s="13"/>
      <c r="K820" s="13"/>
      <c r="L820" s="13"/>
      <c r="M820" s="10">
        <f>40*2.63+40*2.85+1.57*40</f>
        <v>282</v>
      </c>
      <c r="N820" s="10">
        <f t="shared" si="67"/>
        <v>141</v>
      </c>
      <c r="O820" s="13"/>
      <c r="P820" s="55"/>
    </row>
    <row r="821" spans="1:16" ht="18.75">
      <c r="A821" s="8" t="s">
        <v>1604</v>
      </c>
      <c r="B821" s="9" t="s">
        <v>1637</v>
      </c>
      <c r="C821" s="2" t="s">
        <v>2058</v>
      </c>
      <c r="D821" s="2">
        <v>60</v>
      </c>
      <c r="E821" s="2" t="s">
        <v>2099</v>
      </c>
      <c r="F821" s="1">
        <f t="shared" si="66"/>
        <v>1</v>
      </c>
      <c r="G821" s="2" t="s">
        <v>59</v>
      </c>
      <c r="H821" s="14"/>
      <c r="I821" s="2"/>
      <c r="J821" s="13"/>
      <c r="K821" s="13"/>
      <c r="L821" s="13"/>
      <c r="M821" s="10">
        <f>2.63*30+2.85*30</f>
        <v>164.39999999999998</v>
      </c>
      <c r="N821" s="10">
        <f t="shared" si="67"/>
        <v>164.39999999999998</v>
      </c>
      <c r="O821" s="13"/>
      <c r="P821" s="55"/>
    </row>
    <row r="822" spans="1:16" s="90" customFormat="1">
      <c r="A822" s="8" t="s">
        <v>1604</v>
      </c>
      <c r="B822" s="129" t="s">
        <v>1638</v>
      </c>
      <c r="C822" s="86" t="s">
        <v>2161</v>
      </c>
      <c r="D822" s="86">
        <v>1</v>
      </c>
      <c r="E822" s="86" t="s">
        <v>1639</v>
      </c>
      <c r="F822" s="86">
        <v>0.75</v>
      </c>
      <c r="G822" s="86" t="s">
        <v>17</v>
      </c>
      <c r="H822" s="86" t="s">
        <v>1640</v>
      </c>
      <c r="I822" s="86" t="s">
        <v>1641</v>
      </c>
      <c r="J822" s="86"/>
      <c r="K822" s="86"/>
      <c r="L822" s="89"/>
      <c r="M822" s="88">
        <v>40</v>
      </c>
      <c r="N822" s="88">
        <f>F822*M822</f>
        <v>30</v>
      </c>
    </row>
    <row r="823" spans="1:16" ht="18.75">
      <c r="A823" s="8" t="s">
        <v>1604</v>
      </c>
      <c r="B823" s="9" t="s">
        <v>1642</v>
      </c>
      <c r="C823" s="2" t="s">
        <v>2161</v>
      </c>
      <c r="D823" s="2">
        <v>2</v>
      </c>
      <c r="E823" s="2" t="s">
        <v>2376</v>
      </c>
      <c r="F823" s="1">
        <f t="shared" si="66"/>
        <v>0.5</v>
      </c>
      <c r="G823" s="2" t="s">
        <v>21</v>
      </c>
      <c r="H823" s="14" t="s">
        <v>1643</v>
      </c>
      <c r="I823" s="2"/>
      <c r="J823" s="13"/>
      <c r="K823" s="13"/>
      <c r="L823" s="13"/>
      <c r="M823" s="10">
        <f>60*2</f>
        <v>120</v>
      </c>
      <c r="N823" s="10">
        <f t="shared" si="67"/>
        <v>60</v>
      </c>
      <c r="O823" s="13">
        <v>2014</v>
      </c>
      <c r="P823" s="55"/>
    </row>
    <row r="824" spans="1:16" ht="18.75">
      <c r="A824" s="8" t="s">
        <v>1604</v>
      </c>
      <c r="B824" s="9" t="s">
        <v>1646</v>
      </c>
      <c r="C824" s="2" t="s">
        <v>2058</v>
      </c>
      <c r="D824" s="2">
        <v>3</v>
      </c>
      <c r="E824" s="2" t="s">
        <v>1647</v>
      </c>
      <c r="F824" s="1">
        <f t="shared" si="66"/>
        <v>0.75</v>
      </c>
      <c r="G824" s="2" t="s">
        <v>17</v>
      </c>
      <c r="H824" s="14" t="s">
        <v>190</v>
      </c>
      <c r="I824" s="2"/>
      <c r="J824" s="13"/>
      <c r="K824" s="13"/>
      <c r="L824" s="13"/>
      <c r="M824" s="10">
        <f>95*3</f>
        <v>285</v>
      </c>
      <c r="N824" s="10">
        <f t="shared" si="67"/>
        <v>213.75</v>
      </c>
      <c r="O824" s="13">
        <v>2014</v>
      </c>
      <c r="P824" s="55"/>
    </row>
    <row r="825" spans="1:16" ht="18.75">
      <c r="A825" s="8" t="s">
        <v>1604</v>
      </c>
      <c r="B825" s="9" t="s">
        <v>2147</v>
      </c>
      <c r="C825" s="2" t="s">
        <v>2058</v>
      </c>
      <c r="D825" s="2">
        <v>4</v>
      </c>
      <c r="E825" s="2" t="s">
        <v>2148</v>
      </c>
      <c r="F825" s="1">
        <f t="shared" si="66"/>
        <v>0.9</v>
      </c>
      <c r="G825" s="2" t="s">
        <v>31</v>
      </c>
      <c r="H825" s="14"/>
      <c r="I825" s="2"/>
      <c r="J825" s="13"/>
      <c r="K825" s="13"/>
      <c r="L825" s="13"/>
      <c r="M825" s="10">
        <f>44.86*4</f>
        <v>179.44</v>
      </c>
      <c r="N825" s="10">
        <f t="shared" si="67"/>
        <v>161.49600000000001</v>
      </c>
      <c r="O825" s="13"/>
      <c r="P825" s="55"/>
    </row>
    <row r="826" spans="1:16" ht="18.75">
      <c r="A826" s="8" t="s">
        <v>1604</v>
      </c>
      <c r="B826" s="9" t="s">
        <v>1648</v>
      </c>
      <c r="C826" s="2" t="s">
        <v>2058</v>
      </c>
      <c r="D826" s="2">
        <v>3</v>
      </c>
      <c r="E826" s="2" t="s">
        <v>2149</v>
      </c>
      <c r="F826" s="1">
        <f t="shared" si="66"/>
        <v>0.5</v>
      </c>
      <c r="G826" s="2" t="s">
        <v>29</v>
      </c>
      <c r="H826" s="14" t="s">
        <v>1649</v>
      </c>
      <c r="I826" s="2"/>
      <c r="J826" s="13"/>
      <c r="K826" s="13"/>
      <c r="L826" s="13"/>
      <c r="M826" s="10">
        <f>240*2+280</f>
        <v>760</v>
      </c>
      <c r="N826" s="10">
        <f t="shared" si="67"/>
        <v>380</v>
      </c>
      <c r="O826" s="13">
        <v>2013</v>
      </c>
      <c r="P826" s="55"/>
    </row>
    <row r="827" spans="1:16" ht="18.75">
      <c r="A827" s="8" t="s">
        <v>1604</v>
      </c>
      <c r="B827" s="9" t="s">
        <v>1650</v>
      </c>
      <c r="C827" s="2" t="s">
        <v>2161</v>
      </c>
      <c r="D827" s="2">
        <v>1</v>
      </c>
      <c r="E827" s="2" t="s">
        <v>1651</v>
      </c>
      <c r="F827" s="1">
        <f t="shared" si="66"/>
        <v>0.75</v>
      </c>
      <c r="G827" s="2" t="s">
        <v>17</v>
      </c>
      <c r="H827" s="14"/>
      <c r="I827" s="2"/>
      <c r="J827" s="13"/>
      <c r="K827" s="13"/>
      <c r="L827" s="13"/>
      <c r="M827" s="10">
        <v>35</v>
      </c>
      <c r="N827" s="10">
        <f t="shared" si="67"/>
        <v>26.25</v>
      </c>
      <c r="O827" s="13"/>
      <c r="P827" s="55"/>
    </row>
    <row r="828" spans="1:16" ht="18.75">
      <c r="A828" s="8" t="s">
        <v>1604</v>
      </c>
      <c r="B828" s="9" t="s">
        <v>1652</v>
      </c>
      <c r="C828" s="2" t="s">
        <v>2058</v>
      </c>
      <c r="D828" s="2">
        <v>2</v>
      </c>
      <c r="E828" s="2" t="s">
        <v>2377</v>
      </c>
      <c r="F828" s="1">
        <f t="shared" si="66"/>
        <v>0.5</v>
      </c>
      <c r="G828" s="2" t="s">
        <v>21</v>
      </c>
      <c r="H828" s="14" t="s">
        <v>1653</v>
      </c>
      <c r="I828" s="2"/>
      <c r="J828" s="13"/>
      <c r="K828" s="13"/>
      <c r="L828" s="13"/>
      <c r="M828" s="10">
        <f>14.95*2</f>
        <v>29.9</v>
      </c>
      <c r="N828" s="10">
        <f t="shared" si="67"/>
        <v>14.95</v>
      </c>
      <c r="O828" s="13"/>
      <c r="P828" s="55"/>
    </row>
    <row r="829" spans="1:16" s="90" customFormat="1" ht="18.75">
      <c r="A829" s="8" t="s">
        <v>1604</v>
      </c>
      <c r="B829" s="129" t="s">
        <v>1444</v>
      </c>
      <c r="C829" s="86" t="s">
        <v>20</v>
      </c>
      <c r="D829" s="86">
        <v>1</v>
      </c>
      <c r="E829" s="86" t="s">
        <v>1445</v>
      </c>
      <c r="F829" s="1">
        <f t="shared" si="66"/>
        <v>0.75</v>
      </c>
      <c r="G829" s="86" t="s">
        <v>16</v>
      </c>
      <c r="H829" s="86" t="s">
        <v>1446</v>
      </c>
      <c r="I829" s="86"/>
      <c r="J829" s="86"/>
      <c r="K829" s="86"/>
      <c r="L829" s="86"/>
      <c r="M829" s="88">
        <v>25</v>
      </c>
      <c r="N829" s="10">
        <f t="shared" si="67"/>
        <v>18.75</v>
      </c>
      <c r="O829" s="88"/>
    </row>
    <row r="830" spans="1:16" ht="18.75">
      <c r="A830" s="8" t="s">
        <v>1604</v>
      </c>
      <c r="B830" s="9" t="s">
        <v>1654</v>
      </c>
      <c r="C830" s="2" t="s">
        <v>2058</v>
      </c>
      <c r="D830" s="2">
        <v>31</v>
      </c>
      <c r="E830" s="2" t="s">
        <v>2378</v>
      </c>
      <c r="F830" s="1">
        <f t="shared" si="66"/>
        <v>0.75</v>
      </c>
      <c r="G830" s="2" t="s">
        <v>17</v>
      </c>
      <c r="H830" s="14"/>
      <c r="I830" s="2"/>
      <c r="J830" s="13"/>
      <c r="K830" s="13"/>
      <c r="L830" s="13"/>
      <c r="M830" s="10">
        <f>6.76*31</f>
        <v>209.56</v>
      </c>
      <c r="N830" s="10">
        <f t="shared" si="67"/>
        <v>157.17000000000002</v>
      </c>
      <c r="O830" s="13"/>
      <c r="P830" s="55"/>
    </row>
    <row r="831" spans="1:16" s="90" customFormat="1" ht="18.75">
      <c r="A831" s="8" t="s">
        <v>1604</v>
      </c>
      <c r="B831" s="129" t="s">
        <v>1462</v>
      </c>
      <c r="C831" s="86" t="s">
        <v>20</v>
      </c>
      <c r="D831" s="86">
        <v>1</v>
      </c>
      <c r="E831" s="86" t="s">
        <v>1463</v>
      </c>
      <c r="F831" s="1">
        <f t="shared" si="66"/>
        <v>0.75</v>
      </c>
      <c r="G831" s="86" t="s">
        <v>17</v>
      </c>
      <c r="H831" s="86"/>
      <c r="I831" s="86"/>
      <c r="J831" s="86"/>
      <c r="K831" s="86">
        <v>42</v>
      </c>
      <c r="L831" s="86">
        <v>20</v>
      </c>
      <c r="M831" s="138">
        <v>150</v>
      </c>
      <c r="N831" s="10">
        <f t="shared" si="67"/>
        <v>112.5</v>
      </c>
      <c r="O831" s="88"/>
    </row>
    <row r="832" spans="1:16" s="90" customFormat="1" ht="18.75">
      <c r="A832" s="8" t="s">
        <v>1604</v>
      </c>
      <c r="B832" s="129" t="s">
        <v>1480</v>
      </c>
      <c r="C832" s="86" t="s">
        <v>20</v>
      </c>
      <c r="D832" s="86">
        <v>3</v>
      </c>
      <c r="E832" s="86" t="s">
        <v>1481</v>
      </c>
      <c r="F832" s="1">
        <f t="shared" si="66"/>
        <v>0.75</v>
      </c>
      <c r="G832" s="86" t="s">
        <v>16</v>
      </c>
      <c r="H832" s="86"/>
      <c r="I832" s="86"/>
      <c r="J832" s="86"/>
      <c r="K832" s="86"/>
      <c r="L832" s="86"/>
      <c r="M832" s="88">
        <f>3*0.5</f>
        <v>1.5</v>
      </c>
      <c r="N832" s="10">
        <f t="shared" si="67"/>
        <v>1.125</v>
      </c>
      <c r="O832" s="88"/>
    </row>
    <row r="833" spans="1:16" s="90" customFormat="1" ht="18.75">
      <c r="A833" s="8" t="s">
        <v>1604</v>
      </c>
      <c r="B833" s="129" t="s">
        <v>1482</v>
      </c>
      <c r="C833" s="86" t="s">
        <v>20</v>
      </c>
      <c r="D833" s="86">
        <v>13</v>
      </c>
      <c r="E833" s="86" t="s">
        <v>1483</v>
      </c>
      <c r="F833" s="1">
        <f t="shared" si="66"/>
        <v>0.75</v>
      </c>
      <c r="G833" s="86" t="s">
        <v>17</v>
      </c>
      <c r="H833" s="86"/>
      <c r="I833" s="86"/>
      <c r="J833" s="86"/>
      <c r="K833" s="86"/>
      <c r="L833" s="86"/>
      <c r="M833" s="88">
        <f>13*0.25</f>
        <v>3.25</v>
      </c>
      <c r="N833" s="10">
        <f t="shared" si="67"/>
        <v>2.4375</v>
      </c>
      <c r="O833" s="88"/>
    </row>
    <row r="834" spans="1:16" s="90" customFormat="1" ht="18.75">
      <c r="A834" s="8" t="s">
        <v>1604</v>
      </c>
      <c r="B834" s="129" t="s">
        <v>1484</v>
      </c>
      <c r="C834" s="86" t="s">
        <v>20</v>
      </c>
      <c r="D834" s="86">
        <v>44</v>
      </c>
      <c r="E834" s="86" t="s">
        <v>1485</v>
      </c>
      <c r="F834" s="1">
        <f t="shared" si="66"/>
        <v>1</v>
      </c>
      <c r="G834" s="86" t="s">
        <v>269</v>
      </c>
      <c r="H834" s="86" t="s">
        <v>1486</v>
      </c>
      <c r="I834" s="86"/>
      <c r="J834" s="86"/>
      <c r="K834" s="86"/>
      <c r="L834" s="86"/>
      <c r="M834" s="88">
        <f>44*0.25</f>
        <v>11</v>
      </c>
      <c r="N834" s="10">
        <f t="shared" si="67"/>
        <v>11</v>
      </c>
      <c r="O834" s="88"/>
    </row>
    <row r="835" spans="1:16" s="90" customFormat="1" ht="18.75">
      <c r="A835" s="8" t="s">
        <v>1604</v>
      </c>
      <c r="B835" s="129" t="s">
        <v>1487</v>
      </c>
      <c r="C835" s="86" t="s">
        <v>20</v>
      </c>
      <c r="D835" s="86">
        <v>6</v>
      </c>
      <c r="E835" s="86" t="s">
        <v>1488</v>
      </c>
      <c r="F835" s="1">
        <f t="shared" si="66"/>
        <v>0.75</v>
      </c>
      <c r="G835" s="86" t="s">
        <v>16</v>
      </c>
      <c r="H835" s="86"/>
      <c r="I835" s="86"/>
      <c r="J835" s="86"/>
      <c r="K835" s="86"/>
      <c r="L835" s="86"/>
      <c r="M835" s="88">
        <f>6*0.5</f>
        <v>3</v>
      </c>
      <c r="N835" s="10">
        <f t="shared" si="67"/>
        <v>2.25</v>
      </c>
      <c r="O835" s="88"/>
    </row>
    <row r="836" spans="1:16" s="90" customFormat="1" ht="18.75">
      <c r="A836" s="8" t="s">
        <v>1604</v>
      </c>
      <c r="B836" s="129" t="s">
        <v>1489</v>
      </c>
      <c r="C836" s="86" t="s">
        <v>20</v>
      </c>
      <c r="D836" s="86">
        <v>12</v>
      </c>
      <c r="E836" s="86" t="s">
        <v>1490</v>
      </c>
      <c r="F836" s="1">
        <f t="shared" si="66"/>
        <v>0.5</v>
      </c>
      <c r="G836" s="86" t="s">
        <v>21</v>
      </c>
      <c r="H836" s="86"/>
      <c r="I836" s="86"/>
      <c r="J836" s="86"/>
      <c r="K836" s="86"/>
      <c r="L836" s="86"/>
      <c r="M836" s="138">
        <f>12*0.5</f>
        <v>6</v>
      </c>
      <c r="N836" s="10">
        <f t="shared" si="67"/>
        <v>3</v>
      </c>
      <c r="O836" s="88"/>
    </row>
    <row r="837" spans="1:16" s="90" customFormat="1" ht="18.75">
      <c r="A837" s="8" t="s">
        <v>1604</v>
      </c>
      <c r="B837" s="129" t="s">
        <v>1491</v>
      </c>
      <c r="C837" s="86" t="s">
        <v>20</v>
      </c>
      <c r="D837" s="86">
        <v>1</v>
      </c>
      <c r="E837" s="86" t="s">
        <v>1492</v>
      </c>
      <c r="F837" s="1">
        <f t="shared" si="66"/>
        <v>0.75</v>
      </c>
      <c r="G837" s="86" t="s">
        <v>17</v>
      </c>
      <c r="H837" s="86"/>
      <c r="I837" s="86"/>
      <c r="J837" s="86"/>
      <c r="K837" s="86"/>
      <c r="L837" s="86"/>
      <c r="M837" s="88">
        <f>1*0.5</f>
        <v>0.5</v>
      </c>
      <c r="N837" s="10">
        <f t="shared" si="67"/>
        <v>0.375</v>
      </c>
      <c r="O837" s="88"/>
    </row>
    <row r="838" spans="1:16" s="90" customFormat="1" ht="18.75">
      <c r="A838" s="8" t="s">
        <v>1604</v>
      </c>
      <c r="B838" s="129" t="s">
        <v>1501</v>
      </c>
      <c r="C838" s="86" t="s">
        <v>14</v>
      </c>
      <c r="D838" s="89"/>
      <c r="E838" s="86" t="s">
        <v>1502</v>
      </c>
      <c r="F838" s="1">
        <f t="shared" si="66"/>
        <v>0.5</v>
      </c>
      <c r="G838" s="86" t="s">
        <v>21</v>
      </c>
      <c r="H838" s="86"/>
      <c r="I838" s="86"/>
      <c r="J838" s="86"/>
      <c r="K838" s="86"/>
      <c r="L838" s="86"/>
      <c r="M838" s="88">
        <v>112.48</v>
      </c>
      <c r="N838" s="10">
        <f t="shared" si="67"/>
        <v>56.24</v>
      </c>
      <c r="O838" s="130">
        <v>2012</v>
      </c>
    </row>
    <row r="839" spans="1:16" s="90" customFormat="1" ht="18.75">
      <c r="A839" s="8" t="s">
        <v>1604</v>
      </c>
      <c r="B839" s="129" t="s">
        <v>1516</v>
      </c>
      <c r="C839" s="86" t="s">
        <v>20</v>
      </c>
      <c r="D839" s="89"/>
      <c r="E839" s="86" t="s">
        <v>1517</v>
      </c>
      <c r="F839" s="1">
        <f t="shared" si="66"/>
        <v>0.5</v>
      </c>
      <c r="G839" s="86" t="s">
        <v>21</v>
      </c>
      <c r="H839" s="86"/>
      <c r="I839" s="86"/>
      <c r="J839" s="86"/>
      <c r="K839" s="86"/>
      <c r="L839" s="86"/>
      <c r="M839" s="88">
        <v>70</v>
      </c>
      <c r="N839" s="10">
        <f t="shared" si="67"/>
        <v>35</v>
      </c>
      <c r="O839" s="130">
        <v>2018</v>
      </c>
    </row>
    <row r="840" spans="1:16" ht="18.75">
      <c r="A840" s="8" t="s">
        <v>1604</v>
      </c>
      <c r="B840" s="9" t="s">
        <v>1655</v>
      </c>
      <c r="C840" s="2" t="s">
        <v>2161</v>
      </c>
      <c r="D840" s="2">
        <v>8</v>
      </c>
      <c r="E840" s="2" t="s">
        <v>2379</v>
      </c>
      <c r="F840" s="1">
        <f t="shared" si="66"/>
        <v>0.75</v>
      </c>
      <c r="G840" s="2" t="s">
        <v>17</v>
      </c>
      <c r="H840" s="14"/>
      <c r="I840" s="2"/>
      <c r="J840" s="13"/>
      <c r="K840" s="13"/>
      <c r="L840" s="13"/>
      <c r="M840" s="10">
        <f>179.95*8</f>
        <v>1439.6</v>
      </c>
      <c r="N840" s="10">
        <f t="shared" si="67"/>
        <v>1079.6999999999998</v>
      </c>
      <c r="O840" s="13">
        <v>2017</v>
      </c>
      <c r="P840" s="55"/>
    </row>
    <row r="841" spans="1:16" ht="18.75">
      <c r="A841" s="8" t="s">
        <v>1604</v>
      </c>
      <c r="B841" s="9" t="s">
        <v>1168</v>
      </c>
      <c r="C841" s="2" t="s">
        <v>2058</v>
      </c>
      <c r="D841" s="2">
        <v>2</v>
      </c>
      <c r="E841" s="2" t="s">
        <v>2380</v>
      </c>
      <c r="F841" s="1">
        <f t="shared" si="66"/>
        <v>0.75</v>
      </c>
      <c r="G841" s="2" t="s">
        <v>17</v>
      </c>
      <c r="H841" s="14"/>
      <c r="I841" s="2"/>
      <c r="J841" s="13"/>
      <c r="K841" s="13"/>
      <c r="L841" s="13"/>
      <c r="M841" s="10">
        <f>34*2</f>
        <v>68</v>
      </c>
      <c r="N841" s="10">
        <f t="shared" si="67"/>
        <v>51</v>
      </c>
      <c r="O841" s="13">
        <v>2019</v>
      </c>
      <c r="P841" s="55"/>
    </row>
    <row r="842" spans="1:16" ht="18.75">
      <c r="A842" s="8" t="s">
        <v>1604</v>
      </c>
      <c r="B842" s="9" t="s">
        <v>1656</v>
      </c>
      <c r="C842" s="2" t="s">
        <v>2161</v>
      </c>
      <c r="D842" s="2">
        <v>76</v>
      </c>
      <c r="E842" s="2" t="s">
        <v>2440</v>
      </c>
      <c r="F842" s="1">
        <f t="shared" si="66"/>
        <v>0.5</v>
      </c>
      <c r="G842" s="2" t="s">
        <v>29</v>
      </c>
      <c r="H842" s="14"/>
      <c r="I842" s="2"/>
      <c r="J842" s="13"/>
      <c r="K842" s="13"/>
      <c r="L842" s="13"/>
      <c r="M842" s="10">
        <f>2.99*8+6.99*13+12.65*3+6.99*12+6.49*39+5.99*2+3.39*15</f>
        <v>552.56000000000006</v>
      </c>
      <c r="N842" s="10">
        <f t="shared" si="67"/>
        <v>276.28000000000003</v>
      </c>
      <c r="O842" s="13"/>
      <c r="P842" s="55"/>
    </row>
    <row r="843" spans="1:16" ht="18.75">
      <c r="A843" s="8" t="s">
        <v>1604</v>
      </c>
      <c r="B843" s="9" t="s">
        <v>1657</v>
      </c>
      <c r="C843" s="2" t="s">
        <v>2058</v>
      </c>
      <c r="D843" s="2">
        <v>17</v>
      </c>
      <c r="E843" s="2" t="s">
        <v>2381</v>
      </c>
      <c r="F843" s="1">
        <f t="shared" si="66"/>
        <v>0.9</v>
      </c>
      <c r="G843" s="2" t="s">
        <v>31</v>
      </c>
      <c r="H843" s="14" t="s">
        <v>1658</v>
      </c>
      <c r="I843" s="2"/>
      <c r="J843" s="13"/>
      <c r="K843" s="13"/>
      <c r="L843" s="13"/>
      <c r="M843" s="10">
        <f>3.68*17</f>
        <v>62.56</v>
      </c>
      <c r="N843" s="10">
        <f t="shared" si="67"/>
        <v>56.304000000000002</v>
      </c>
      <c r="O843" s="13"/>
      <c r="P843" s="55"/>
    </row>
    <row r="844" spans="1:16" ht="18.75">
      <c r="A844" s="8" t="s">
        <v>1604</v>
      </c>
      <c r="B844" s="9" t="s">
        <v>1659</v>
      </c>
      <c r="C844" s="2" t="s">
        <v>2161</v>
      </c>
      <c r="D844" s="2">
        <v>1</v>
      </c>
      <c r="E844" s="2" t="s">
        <v>1660</v>
      </c>
      <c r="F844" s="1">
        <f t="shared" si="66"/>
        <v>0.75</v>
      </c>
      <c r="G844" s="2" t="s">
        <v>17</v>
      </c>
      <c r="H844" s="14"/>
      <c r="I844" s="2"/>
      <c r="J844" s="13"/>
      <c r="K844" s="13"/>
      <c r="L844" s="13"/>
      <c r="M844" s="10">
        <v>145</v>
      </c>
      <c r="N844" s="10">
        <f>F844*M843</f>
        <v>46.92</v>
      </c>
      <c r="O844" s="13">
        <v>2012</v>
      </c>
      <c r="P844" s="55"/>
    </row>
    <row r="845" spans="1:16" ht="18.75">
      <c r="A845" s="8" t="s">
        <v>1604</v>
      </c>
      <c r="B845" s="9" t="s">
        <v>1661</v>
      </c>
      <c r="C845" s="2" t="s">
        <v>2161</v>
      </c>
      <c r="D845" s="2">
        <v>2</v>
      </c>
      <c r="E845" s="2" t="s">
        <v>2382</v>
      </c>
      <c r="F845" s="1">
        <f t="shared" si="66"/>
        <v>0.75</v>
      </c>
      <c r="G845" s="2" t="s">
        <v>17</v>
      </c>
      <c r="H845" s="14"/>
      <c r="I845" s="2"/>
      <c r="J845" s="13"/>
      <c r="K845" s="13"/>
      <c r="L845" s="13"/>
      <c r="M845" s="10">
        <f>145*2</f>
        <v>290</v>
      </c>
      <c r="N845" s="10">
        <f>F845*M845</f>
        <v>217.5</v>
      </c>
      <c r="O845" s="13"/>
      <c r="P845" s="55"/>
    </row>
    <row r="846" spans="1:16" ht="18.75">
      <c r="A846" s="8" t="s">
        <v>1604</v>
      </c>
      <c r="B846" s="9" t="s">
        <v>1662</v>
      </c>
      <c r="C846" s="2" t="s">
        <v>2161</v>
      </c>
      <c r="D846" s="2">
        <v>1</v>
      </c>
      <c r="E846" s="2" t="s">
        <v>1663</v>
      </c>
      <c r="F846" s="1">
        <f t="shared" si="66"/>
        <v>0.75</v>
      </c>
      <c r="G846" s="2" t="s">
        <v>16</v>
      </c>
      <c r="H846" s="14"/>
      <c r="I846" s="2"/>
      <c r="J846" s="13"/>
      <c r="K846" s="13" t="s">
        <v>1664</v>
      </c>
      <c r="L846" s="13">
        <v>3</v>
      </c>
      <c r="M846" s="10">
        <v>160</v>
      </c>
      <c r="N846" s="10">
        <f>F846*M846</f>
        <v>120</v>
      </c>
      <c r="O846" s="13"/>
      <c r="P846" s="55"/>
    </row>
    <row r="847" spans="1:16" ht="18.75">
      <c r="A847" s="8" t="s">
        <v>1604</v>
      </c>
      <c r="B847" s="37" t="s">
        <v>1749</v>
      </c>
      <c r="C847" s="2" t="s">
        <v>2161</v>
      </c>
      <c r="D847" s="2">
        <v>1</v>
      </c>
      <c r="E847" s="2" t="s">
        <v>1750</v>
      </c>
      <c r="F847" s="1">
        <f t="shared" si="66"/>
        <v>0.5</v>
      </c>
      <c r="G847" s="2" t="s">
        <v>21</v>
      </c>
      <c r="H847" s="15"/>
      <c r="I847" s="15"/>
      <c r="J847" s="15"/>
      <c r="K847" s="15"/>
      <c r="L847" s="15"/>
      <c r="M847" s="44">
        <v>65.989999999999995</v>
      </c>
      <c r="N847" s="10">
        <f>F847*M847</f>
        <v>32.994999999999997</v>
      </c>
      <c r="O847" s="16"/>
      <c r="P847" s="55"/>
    </row>
    <row r="849" spans="1:15" ht="18.75">
      <c r="A849" s="11" t="s">
        <v>1832</v>
      </c>
      <c r="B849" s="9" t="s">
        <v>1806</v>
      </c>
      <c r="C849" s="2" t="s">
        <v>2161</v>
      </c>
      <c r="D849" s="2">
        <v>1</v>
      </c>
      <c r="E849" s="2" t="s">
        <v>1807</v>
      </c>
      <c r="F849" s="1">
        <f t="shared" ref="F849:F853" si="68">IF(G849="fair",0.5,0)+IF(G849="good",0.75,0)+IF(G849="poor",0.25,0)+IF(G849="like new",0.9,0)+IF(G849="new",1,0)</f>
        <v>0.75</v>
      </c>
      <c r="G849" s="2" t="s">
        <v>17</v>
      </c>
      <c r="H849" s="2"/>
      <c r="I849" s="2"/>
      <c r="J849" s="2"/>
      <c r="K849" s="2"/>
      <c r="L849" s="2"/>
      <c r="M849" s="10">
        <v>278.77</v>
      </c>
      <c r="N849" s="10">
        <f>F849*M849</f>
        <v>209.07749999999999</v>
      </c>
      <c r="O849" s="2"/>
    </row>
    <row r="850" spans="1:15" ht="18.75">
      <c r="A850" s="11" t="s">
        <v>1832</v>
      </c>
      <c r="B850" s="9" t="s">
        <v>1811</v>
      </c>
      <c r="C850" s="2" t="s">
        <v>2161</v>
      </c>
      <c r="D850" s="2">
        <v>1</v>
      </c>
      <c r="E850" s="2" t="s">
        <v>1812</v>
      </c>
      <c r="F850" s="1">
        <f t="shared" si="68"/>
        <v>0.5</v>
      </c>
      <c r="G850" s="2" t="s">
        <v>21</v>
      </c>
      <c r="H850" s="2"/>
      <c r="I850" s="2"/>
      <c r="J850" s="2"/>
      <c r="K850" s="2"/>
      <c r="L850" s="2"/>
      <c r="M850" s="10">
        <v>23</v>
      </c>
      <c r="N850" s="10">
        <f>F850*M850</f>
        <v>11.5</v>
      </c>
      <c r="O850" s="2"/>
    </row>
    <row r="851" spans="1:15" ht="18.75">
      <c r="A851" s="11" t="s">
        <v>1832</v>
      </c>
      <c r="B851" s="9" t="s">
        <v>1815</v>
      </c>
      <c r="C851" s="2" t="s">
        <v>2057</v>
      </c>
      <c r="D851" s="2">
        <v>1</v>
      </c>
      <c r="E851" s="2" t="s">
        <v>1816</v>
      </c>
      <c r="F851" s="1">
        <f t="shared" si="68"/>
        <v>0.5</v>
      </c>
      <c r="G851" s="2" t="s">
        <v>21</v>
      </c>
      <c r="H851" s="2"/>
      <c r="I851" s="2"/>
      <c r="J851" s="2"/>
      <c r="K851" s="2"/>
      <c r="L851" s="2"/>
      <c r="M851" s="10">
        <v>35</v>
      </c>
      <c r="N851" s="10">
        <f>F851*M851</f>
        <v>17.5</v>
      </c>
      <c r="O851" s="2"/>
    </row>
    <row r="852" spans="1:15" ht="18.75">
      <c r="A852" s="11" t="s">
        <v>1832</v>
      </c>
      <c r="B852" s="9" t="s">
        <v>1822</v>
      </c>
      <c r="C852" s="2" t="s">
        <v>2057</v>
      </c>
      <c r="D852" s="2">
        <v>4</v>
      </c>
      <c r="E852" s="2" t="s">
        <v>2384</v>
      </c>
      <c r="F852" s="1">
        <f t="shared" si="68"/>
        <v>0.75</v>
      </c>
      <c r="G852" s="2" t="s">
        <v>17</v>
      </c>
      <c r="H852" s="2"/>
      <c r="I852" s="2"/>
      <c r="J852" s="2"/>
      <c r="K852" s="2"/>
      <c r="L852" s="2"/>
      <c r="M852" s="10">
        <f>12*4</f>
        <v>48</v>
      </c>
      <c r="N852" s="10">
        <f>F852*M852</f>
        <v>36</v>
      </c>
      <c r="O852" s="2"/>
    </row>
    <row r="853" spans="1:15" ht="18.75">
      <c r="A853" s="11" t="s">
        <v>1832</v>
      </c>
      <c r="B853" s="9" t="s">
        <v>2055</v>
      </c>
      <c r="C853" s="2" t="s">
        <v>2057</v>
      </c>
      <c r="D853" s="2">
        <v>1</v>
      </c>
      <c r="E853" s="2" t="s">
        <v>1825</v>
      </c>
      <c r="F853" s="1">
        <f t="shared" si="68"/>
        <v>0.5</v>
      </c>
      <c r="G853" s="2" t="s">
        <v>21</v>
      </c>
      <c r="H853" s="2"/>
      <c r="I853" s="2"/>
      <c r="J853" s="2"/>
      <c r="K853" s="2"/>
      <c r="L853" s="2"/>
      <c r="M853" s="10">
        <v>20</v>
      </c>
      <c r="N853" s="10">
        <f>F853*M853</f>
        <v>10</v>
      </c>
      <c r="O853" s="2"/>
    </row>
    <row r="855" spans="1:15" ht="18.75">
      <c r="A855" s="8" t="s">
        <v>1846</v>
      </c>
      <c r="B855" s="9" t="s">
        <v>1152</v>
      </c>
      <c r="C855" s="2" t="s">
        <v>2057</v>
      </c>
      <c r="D855" s="2">
        <v>1</v>
      </c>
      <c r="E855" s="2" t="s">
        <v>1859</v>
      </c>
      <c r="F855" s="1">
        <f t="shared" ref="F855:F856" si="69">IF(G855="fair",0.5,0)+IF(G855="good",0.75,0)+IF(G855="poor",0.25,0)+IF(G855="like new",0.9,0)+IF(G855="new",1,0)</f>
        <v>0.5</v>
      </c>
      <c r="G855" s="2" t="s">
        <v>21</v>
      </c>
      <c r="H855" s="14" t="s">
        <v>1154</v>
      </c>
      <c r="I855" s="2"/>
      <c r="J855" s="2"/>
      <c r="K855" s="2"/>
      <c r="L855" s="2"/>
      <c r="M855" s="10">
        <v>40</v>
      </c>
      <c r="N855" s="10">
        <f>F855*M855</f>
        <v>20</v>
      </c>
      <c r="O855" s="2"/>
    </row>
    <row r="856" spans="1:15" ht="18.75">
      <c r="A856" s="8" t="s">
        <v>1846</v>
      </c>
      <c r="B856" s="9" t="s">
        <v>573</v>
      </c>
      <c r="C856" s="2" t="s">
        <v>2161</v>
      </c>
      <c r="D856" s="2">
        <v>2</v>
      </c>
      <c r="E856" s="2" t="s">
        <v>2386</v>
      </c>
      <c r="F856" s="1">
        <f t="shared" si="69"/>
        <v>0.5</v>
      </c>
      <c r="G856" s="2" t="s">
        <v>21</v>
      </c>
      <c r="H856" s="14"/>
      <c r="I856" s="2"/>
      <c r="J856" s="2"/>
      <c r="K856" s="2"/>
      <c r="L856" s="2"/>
      <c r="M856" s="10">
        <f>40+18</f>
        <v>58</v>
      </c>
      <c r="N856" s="10">
        <f>F856*M856</f>
        <v>29</v>
      </c>
      <c r="O856" s="2"/>
    </row>
    <row r="858" spans="1:15" ht="18" customHeight="1">
      <c r="A858" s="25" t="s">
        <v>1879</v>
      </c>
      <c r="B858" s="9" t="s">
        <v>1870</v>
      </c>
      <c r="C858" s="2" t="s">
        <v>2058</v>
      </c>
      <c r="D858" s="2">
        <v>2</v>
      </c>
      <c r="E858" s="2" t="s">
        <v>1871</v>
      </c>
      <c r="F858" s="1">
        <f t="shared" ref="F858:F861" si="70">IF(G858="fair",0.5,0)+IF(G858="good",0.75,0)+IF(G858="poor",0.25,0)+IF(G858="like new",0.9,0)+IF(G858="new",1,0)</f>
        <v>0.5</v>
      </c>
      <c r="G858" s="2" t="s">
        <v>21</v>
      </c>
      <c r="H858" s="2"/>
      <c r="I858" s="2"/>
      <c r="J858" s="14"/>
      <c r="K858" s="14"/>
      <c r="L858" s="14"/>
      <c r="M858" s="10">
        <v>75</v>
      </c>
      <c r="N858" s="10">
        <f>F858*M858</f>
        <v>37.5</v>
      </c>
      <c r="O858" s="14">
        <v>2014</v>
      </c>
    </row>
    <row r="859" spans="1:15" ht="18" customHeight="1">
      <c r="A859" s="25" t="s">
        <v>1879</v>
      </c>
      <c r="B859" s="9" t="s">
        <v>1872</v>
      </c>
      <c r="C859" s="2" t="s">
        <v>2161</v>
      </c>
      <c r="D859" s="2">
        <v>1</v>
      </c>
      <c r="E859" s="2" t="s">
        <v>1873</v>
      </c>
      <c r="F859" s="1">
        <f t="shared" si="70"/>
        <v>0.5</v>
      </c>
      <c r="G859" s="2" t="s">
        <v>21</v>
      </c>
      <c r="H859" s="2"/>
      <c r="I859" s="2"/>
      <c r="J859" s="2"/>
      <c r="K859" s="2"/>
      <c r="L859" s="2"/>
      <c r="M859" s="10">
        <v>1500</v>
      </c>
      <c r="N859" s="10">
        <f>F859*M859</f>
        <v>750</v>
      </c>
      <c r="O859" s="2">
        <v>2017</v>
      </c>
    </row>
    <row r="860" spans="1:15" ht="18" customHeight="1">
      <c r="A860" s="25" t="s">
        <v>1879</v>
      </c>
      <c r="B860" s="9" t="s">
        <v>1393</v>
      </c>
      <c r="C860" s="2" t="s">
        <v>2161</v>
      </c>
      <c r="D860" s="2">
        <v>16</v>
      </c>
      <c r="E860" s="2" t="s">
        <v>2387</v>
      </c>
      <c r="F860" s="1">
        <f t="shared" si="70"/>
        <v>0.75</v>
      </c>
      <c r="G860" s="2" t="s">
        <v>17</v>
      </c>
      <c r="H860" s="2"/>
      <c r="I860" s="2"/>
      <c r="J860" s="2"/>
      <c r="K860" s="2"/>
      <c r="L860" s="2"/>
      <c r="M860" s="10">
        <f>30*16</f>
        <v>480</v>
      </c>
      <c r="N860" s="10">
        <f>F860*M860</f>
        <v>360</v>
      </c>
      <c r="O860" s="2"/>
    </row>
    <row r="861" spans="1:15" ht="18" customHeight="1">
      <c r="A861" s="25" t="s">
        <v>1879</v>
      </c>
      <c r="B861" s="9" t="s">
        <v>1874</v>
      </c>
      <c r="C861" s="2" t="s">
        <v>2161</v>
      </c>
      <c r="D861" s="2">
        <v>1</v>
      </c>
      <c r="E861" s="2" t="s">
        <v>1875</v>
      </c>
      <c r="F861" s="1">
        <f t="shared" si="70"/>
        <v>0.5</v>
      </c>
      <c r="G861" s="2" t="s">
        <v>21</v>
      </c>
      <c r="H861" s="2"/>
      <c r="I861" s="2"/>
      <c r="J861" s="2"/>
      <c r="K861" s="2"/>
      <c r="L861" s="2"/>
      <c r="M861" s="10">
        <v>150</v>
      </c>
      <c r="N861" s="10">
        <f>F861*M861</f>
        <v>75</v>
      </c>
      <c r="O861" s="2">
        <v>2014</v>
      </c>
    </row>
    <row r="863" spans="1:15" ht="18" customHeight="1">
      <c r="A863" s="18" t="s">
        <v>1973</v>
      </c>
      <c r="B863" s="9" t="s">
        <v>1975</v>
      </c>
      <c r="C863" s="2" t="s">
        <v>2161</v>
      </c>
      <c r="D863" s="2">
        <v>1</v>
      </c>
      <c r="E863" s="2" t="s">
        <v>1976</v>
      </c>
      <c r="F863" s="1">
        <f t="shared" ref="F863:F868" si="71">IF(G863="fair",0.5,0)+IF(G863="good",0.75,0)+IF(G863="poor",0.25,0)+IF(G863="like new",0.9,0)+IF(G863="new",1,0)</f>
        <v>0.5</v>
      </c>
      <c r="G863" s="2" t="s">
        <v>21</v>
      </c>
      <c r="H863" s="15"/>
      <c r="I863" s="15"/>
      <c r="J863" s="15"/>
      <c r="K863" s="15"/>
      <c r="L863" s="15"/>
      <c r="M863" s="44">
        <v>64</v>
      </c>
      <c r="N863" s="10">
        <f t="shared" ref="N863:N868" si="72">F863*M863</f>
        <v>32</v>
      </c>
      <c r="O863" s="2">
        <v>2017</v>
      </c>
    </row>
    <row r="864" spans="1:15" ht="18" customHeight="1">
      <c r="A864" s="18" t="s">
        <v>1973</v>
      </c>
      <c r="B864" s="58" t="s">
        <v>1977</v>
      </c>
      <c r="C864" s="2" t="s">
        <v>2161</v>
      </c>
      <c r="D864" s="2">
        <v>4</v>
      </c>
      <c r="E864" s="2" t="s">
        <v>2388</v>
      </c>
      <c r="F864" s="1">
        <f t="shared" si="71"/>
        <v>0.25</v>
      </c>
      <c r="G864" s="2" t="s">
        <v>143</v>
      </c>
      <c r="H864" s="15"/>
      <c r="I864" s="15"/>
      <c r="J864" s="15"/>
      <c r="K864" s="15"/>
      <c r="L864" s="15"/>
      <c r="M864" s="44">
        <f>164*5</f>
        <v>820</v>
      </c>
      <c r="N864" s="10">
        <f t="shared" si="72"/>
        <v>205</v>
      </c>
      <c r="O864" s="2">
        <v>2004</v>
      </c>
    </row>
    <row r="865" spans="1:15" ht="18" customHeight="1">
      <c r="A865" s="18" t="s">
        <v>1973</v>
      </c>
      <c r="B865" s="9" t="s">
        <v>1978</v>
      </c>
      <c r="C865" s="2" t="s">
        <v>2161</v>
      </c>
      <c r="D865" s="2">
        <v>1</v>
      </c>
      <c r="E865" s="2" t="s">
        <v>1979</v>
      </c>
      <c r="F865" s="1">
        <f t="shared" si="71"/>
        <v>0.25</v>
      </c>
      <c r="G865" s="2" t="s">
        <v>143</v>
      </c>
      <c r="H865" s="2"/>
      <c r="I865" s="2"/>
      <c r="J865" s="2"/>
      <c r="K865" s="2"/>
      <c r="L865" s="2"/>
      <c r="M865" s="10">
        <v>164</v>
      </c>
      <c r="N865" s="10">
        <f t="shared" si="72"/>
        <v>41</v>
      </c>
      <c r="O865" s="2">
        <v>2004</v>
      </c>
    </row>
    <row r="866" spans="1:15" ht="18" customHeight="1">
      <c r="A866" s="18" t="s">
        <v>1973</v>
      </c>
      <c r="B866" s="9" t="s">
        <v>1980</v>
      </c>
      <c r="C866" s="2" t="s">
        <v>2161</v>
      </c>
      <c r="D866" s="2">
        <v>4</v>
      </c>
      <c r="E866" s="2" t="s">
        <v>2389</v>
      </c>
      <c r="F866" s="1">
        <f t="shared" si="71"/>
        <v>0.25</v>
      </c>
      <c r="G866" s="2" t="s">
        <v>143</v>
      </c>
      <c r="H866" s="2"/>
      <c r="I866" s="2"/>
      <c r="J866" s="2"/>
      <c r="K866" s="2"/>
      <c r="L866" s="2"/>
      <c r="M866" s="10">
        <f>4*75</f>
        <v>300</v>
      </c>
      <c r="N866" s="10">
        <f t="shared" si="72"/>
        <v>75</v>
      </c>
      <c r="O866" s="2">
        <v>2015</v>
      </c>
    </row>
    <row r="867" spans="1:15" ht="18" customHeight="1">
      <c r="A867" s="18" t="s">
        <v>1973</v>
      </c>
      <c r="B867" s="9" t="s">
        <v>1981</v>
      </c>
      <c r="C867" s="2" t="s">
        <v>2161</v>
      </c>
      <c r="D867" s="2">
        <v>13</v>
      </c>
      <c r="E867" s="2" t="s">
        <v>2390</v>
      </c>
      <c r="F867" s="1">
        <f t="shared" si="71"/>
        <v>0.25</v>
      </c>
      <c r="G867" s="2" t="s">
        <v>143</v>
      </c>
      <c r="H867" s="2"/>
      <c r="I867" s="2"/>
      <c r="J867" s="2"/>
      <c r="K867" s="2"/>
      <c r="L867" s="2"/>
      <c r="M867" s="12">
        <f>75*6</f>
        <v>450</v>
      </c>
      <c r="N867" s="10">
        <f t="shared" si="72"/>
        <v>112.5</v>
      </c>
      <c r="O867" s="2">
        <v>2015</v>
      </c>
    </row>
    <row r="868" spans="1:15" ht="18" customHeight="1">
      <c r="A868" s="18" t="s">
        <v>1973</v>
      </c>
      <c r="B868" s="9" t="s">
        <v>1982</v>
      </c>
      <c r="C868" s="2" t="s">
        <v>2161</v>
      </c>
      <c r="D868" s="2">
        <v>1</v>
      </c>
      <c r="E868" s="2" t="s">
        <v>1983</v>
      </c>
      <c r="F868" s="1">
        <f t="shared" si="71"/>
        <v>0.5</v>
      </c>
      <c r="G868" s="2" t="s">
        <v>21</v>
      </c>
      <c r="H868" s="2"/>
      <c r="I868" s="2"/>
      <c r="J868" s="2"/>
      <c r="K868" s="2" t="s">
        <v>1984</v>
      </c>
      <c r="L868" s="2" t="s">
        <v>128</v>
      </c>
      <c r="M868" s="10">
        <f>164*2</f>
        <v>328</v>
      </c>
      <c r="N868" s="10">
        <f t="shared" si="72"/>
        <v>164</v>
      </c>
      <c r="O868" s="2"/>
    </row>
    <row r="870" spans="1:15" ht="18" customHeight="1">
      <c r="A870" s="18" t="s">
        <v>1974</v>
      </c>
      <c r="B870" s="9" t="s">
        <v>1985</v>
      </c>
      <c r="C870" s="2" t="s">
        <v>2161</v>
      </c>
      <c r="D870" s="2">
        <v>103</v>
      </c>
      <c r="E870" s="2" t="s">
        <v>2391</v>
      </c>
      <c r="F870" s="1">
        <f t="shared" ref="F870:F873" si="73">IF(G870="fair",0.5,0)+IF(G870="good",0.75,0)+IF(G870="poor",0.25,0)+IF(G870="like new",0.9,0)+IF(G870="new",1,0)</f>
        <v>0.75</v>
      </c>
      <c r="G870" s="2" t="s">
        <v>17</v>
      </c>
      <c r="H870" s="2"/>
      <c r="I870" s="2"/>
      <c r="J870" s="2"/>
      <c r="K870" s="2"/>
      <c r="L870" s="2"/>
      <c r="M870" s="44">
        <f>24*103+149*4</f>
        <v>3068</v>
      </c>
      <c r="N870" s="10">
        <f>F870*M870</f>
        <v>2301</v>
      </c>
      <c r="O870" s="2">
        <v>2015</v>
      </c>
    </row>
    <row r="871" spans="1:15" ht="18" customHeight="1">
      <c r="A871" s="18" t="s">
        <v>1974</v>
      </c>
      <c r="B871" s="9" t="s">
        <v>1986</v>
      </c>
      <c r="C871" s="2" t="s">
        <v>2161</v>
      </c>
      <c r="D871" s="2">
        <v>2</v>
      </c>
      <c r="E871" s="2" t="s">
        <v>2392</v>
      </c>
      <c r="F871" s="1">
        <f t="shared" si="73"/>
        <v>0.75</v>
      </c>
      <c r="G871" s="2" t="s">
        <v>17</v>
      </c>
      <c r="H871" s="2"/>
      <c r="I871" s="2"/>
      <c r="J871" s="2"/>
      <c r="K871" s="2">
        <v>1.5</v>
      </c>
      <c r="L871" s="2">
        <v>3.5</v>
      </c>
      <c r="M871" s="10">
        <f>149*2</f>
        <v>298</v>
      </c>
      <c r="N871" s="10">
        <f>F871*M871</f>
        <v>223.5</v>
      </c>
      <c r="O871" s="2">
        <v>2015</v>
      </c>
    </row>
    <row r="872" spans="1:15" ht="18" customHeight="1">
      <c r="A872" s="18" t="s">
        <v>1974</v>
      </c>
      <c r="B872" s="9" t="s">
        <v>74</v>
      </c>
      <c r="C872" s="2" t="s">
        <v>2161</v>
      </c>
      <c r="D872" s="2">
        <v>1</v>
      </c>
      <c r="E872" s="2" t="s">
        <v>1987</v>
      </c>
      <c r="F872" s="1">
        <f t="shared" si="73"/>
        <v>0.75</v>
      </c>
      <c r="G872" s="2" t="s">
        <v>17</v>
      </c>
      <c r="H872" s="2"/>
      <c r="I872" s="2"/>
      <c r="J872" s="2"/>
      <c r="K872" s="2"/>
      <c r="L872" s="2"/>
      <c r="M872" s="10">
        <v>70</v>
      </c>
      <c r="N872" s="10">
        <f>F872*M872</f>
        <v>52.5</v>
      </c>
      <c r="O872" s="2"/>
    </row>
    <row r="873" spans="1:15" ht="18.75">
      <c r="A873" s="18" t="s">
        <v>1974</v>
      </c>
      <c r="B873" s="9" t="s">
        <v>233</v>
      </c>
      <c r="C873" s="2" t="s">
        <v>2161</v>
      </c>
      <c r="D873" s="2">
        <v>3</v>
      </c>
      <c r="E873" s="2" t="s">
        <v>2393</v>
      </c>
      <c r="F873" s="1">
        <f t="shared" si="73"/>
        <v>0.5</v>
      </c>
      <c r="G873" s="2" t="s">
        <v>21</v>
      </c>
      <c r="H873" s="33"/>
      <c r="I873" s="33"/>
      <c r="J873" s="33"/>
      <c r="K873" s="33"/>
      <c r="L873" s="33"/>
      <c r="M873" s="54">
        <f>40*3</f>
        <v>120</v>
      </c>
      <c r="N873" s="10">
        <f>F873*M873</f>
        <v>60</v>
      </c>
      <c r="O873" s="33"/>
    </row>
    <row r="877" spans="1:15">
      <c r="N877" s="59">
        <f>SUM(N2:N876)</f>
        <v>190925.85242499999</v>
      </c>
    </row>
  </sheetData>
  <mergeCells count="2">
    <mergeCell ref="K628:L628"/>
    <mergeCell ref="K667:L667"/>
  </mergeCells>
  <dataValidations count="4">
    <dataValidation type="list" allowBlank="1" showInputMessage="1" showErrorMessage="1" sqref="H23 F345 F822" xr:uid="{089A9F54-C9DE-43CC-9C2E-697C7A5A3A35}">
      <formula1>"1, .9, .75, .5, .25"</formula1>
    </dataValidation>
    <dataValidation type="list" allowBlank="1" showInputMessage="1" showErrorMessage="1" sqref="G78:G121 G34:G37 G625:G658 G126:G132" xr:uid="{80FBF389-56A1-439B-9A63-E81C7981BC28}">
      <formula1>"New, Like New, Good, Fair, Poor"</formula1>
    </dataValidation>
    <dataValidation type="list" allowBlank="1" showInputMessage="1" showErrorMessage="1" sqref="E127:E132 B777 C774:C777 B772:C772 C855:C1048576 C840:C853 C779:C790 C760:C771 C792:C801 C830 C1:C758 C804:C828" xr:uid="{7A2447DB-651F-4E8D-B5BE-1AB2D177596D}">
      <formula1>"Funiture and Fixtures, Kitchen Equipment, Machinery and Equipment, Office Equipment, Vechiles"</formula1>
    </dataValidation>
    <dataValidation type="list" allowBlank="1" showInputMessage="1" showErrorMessage="1" sqref="C802:C803 C829 C831:C839" xr:uid="{63F8593A-2970-4158-8221-18A6CEFA5D69}">
      <formula1>"Associated to lodging, Maintenance/Operations, Food Service, Appliance, Miscellaneous"</formula1>
    </dataValidation>
  </dataValidations>
  <pageMargins left="0.7" right="0.7" top="0.75" bottom="0.75" header="0.3" footer="0.3"/>
  <pageSetup scale="27" fitToHeight="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DFB04-90D2-4038-9416-F83ADB9FB548}">
  <sheetPr>
    <pageSetUpPr fitToPage="1"/>
  </sheetPr>
  <dimension ref="A1:S531"/>
  <sheetViews>
    <sheetView topLeftCell="A489" zoomScale="55" zoomScaleNormal="55" workbookViewId="0">
      <selection activeCell="C320" sqref="C320"/>
    </sheetView>
  </sheetViews>
  <sheetFormatPr defaultColWidth="8.85546875" defaultRowHeight="15.75"/>
  <cols>
    <col min="1" max="1" width="19" style="92" customWidth="1"/>
    <col min="2" max="2" width="29.7109375" style="91" customWidth="1"/>
    <col min="3" max="3" width="29" style="91" customWidth="1"/>
    <col min="4" max="4" width="15.42578125" style="90" customWidth="1"/>
    <col min="5" max="5" width="85.5703125" style="90" customWidth="1"/>
    <col min="6" max="6" width="7" style="90" customWidth="1"/>
    <col min="7" max="7" width="13.85546875" style="91" customWidth="1"/>
    <col min="8" max="8" width="27.42578125" style="90" customWidth="1"/>
    <col min="9" max="9" width="17" style="90" customWidth="1"/>
    <col min="10" max="10" width="31.5703125" style="90" customWidth="1"/>
    <col min="11" max="11" width="16.28515625" style="90" customWidth="1"/>
    <col min="12" max="12" width="13.7109375" style="90" customWidth="1"/>
    <col min="13" max="13" width="11.7109375" style="90" customWidth="1"/>
    <col min="14" max="14" width="17.5703125" style="90" customWidth="1"/>
    <col min="15" max="15" width="21.42578125" style="90" customWidth="1"/>
    <col min="16" max="16384" width="8.85546875" style="90"/>
  </cols>
  <sheetData>
    <row r="1" spans="1:16" ht="40.5" customHeight="1">
      <c r="A1" s="85" t="s">
        <v>0</v>
      </c>
      <c r="B1" s="103" t="s">
        <v>1</v>
      </c>
      <c r="C1" s="101" t="s">
        <v>2</v>
      </c>
      <c r="D1" s="101" t="s">
        <v>2100</v>
      </c>
      <c r="E1" s="101" t="s">
        <v>3</v>
      </c>
      <c r="F1" s="101"/>
      <c r="G1" s="101" t="s">
        <v>4</v>
      </c>
      <c r="H1" s="101" t="s">
        <v>5</v>
      </c>
      <c r="I1" s="101" t="s">
        <v>6</v>
      </c>
      <c r="J1" s="101" t="s">
        <v>7</v>
      </c>
      <c r="K1" s="101" t="s">
        <v>8</v>
      </c>
      <c r="L1" s="101" t="s">
        <v>9</v>
      </c>
      <c r="M1" s="101" t="s">
        <v>10</v>
      </c>
      <c r="N1" s="102" t="s">
        <v>11</v>
      </c>
      <c r="O1" s="102" t="s">
        <v>12</v>
      </c>
    </row>
    <row r="2" spans="1:16">
      <c r="A2" s="92" t="s">
        <v>26</v>
      </c>
      <c r="B2" s="96" t="s">
        <v>57</v>
      </c>
      <c r="C2" s="86" t="s">
        <v>2059</v>
      </c>
      <c r="D2" s="86">
        <v>1</v>
      </c>
      <c r="E2" s="86" t="s">
        <v>58</v>
      </c>
      <c r="F2" s="86"/>
      <c r="G2" s="86" t="s">
        <v>17</v>
      </c>
      <c r="H2" s="86"/>
      <c r="I2" s="86"/>
      <c r="J2" s="86"/>
      <c r="K2" s="86"/>
      <c r="L2" s="87"/>
      <c r="M2" s="88"/>
      <c r="N2" s="89"/>
      <c r="O2" s="10">
        <f t="shared" ref="O2:O10" si="0">F2*N2</f>
        <v>0</v>
      </c>
    </row>
    <row r="3" spans="1:16">
      <c r="C3" s="92"/>
      <c r="D3" s="92"/>
      <c r="E3" s="92"/>
      <c r="F3" s="92"/>
      <c r="G3" s="92"/>
      <c r="H3" s="92"/>
      <c r="I3" s="92"/>
      <c r="J3" s="92"/>
      <c r="K3" s="92"/>
      <c r="N3" s="92"/>
      <c r="O3" s="10">
        <f t="shared" si="0"/>
        <v>0</v>
      </c>
    </row>
    <row r="4" spans="1:16" ht="18" customHeight="1">
      <c r="A4" s="92" t="s">
        <v>2419</v>
      </c>
      <c r="B4" s="96" t="s">
        <v>2196</v>
      </c>
      <c r="C4" s="86" t="s">
        <v>20</v>
      </c>
      <c r="D4" s="86">
        <v>1</v>
      </c>
      <c r="E4" s="86"/>
      <c r="F4" s="86">
        <v>0.25</v>
      </c>
      <c r="G4" s="86" t="s">
        <v>46</v>
      </c>
      <c r="H4" s="86"/>
      <c r="I4" s="86"/>
      <c r="J4" s="86"/>
      <c r="K4" s="86"/>
      <c r="L4" s="86"/>
      <c r="M4" s="86"/>
      <c r="N4" s="88">
        <f>200</f>
        <v>200</v>
      </c>
      <c r="O4" s="10">
        <f t="shared" si="0"/>
        <v>50</v>
      </c>
    </row>
    <row r="5" spans="1:16" ht="18" customHeight="1">
      <c r="B5" s="96" t="s">
        <v>90</v>
      </c>
      <c r="C5" s="86"/>
      <c r="D5" s="86"/>
      <c r="E5" s="89"/>
      <c r="F5" s="86"/>
      <c r="G5" s="86"/>
      <c r="H5" s="86"/>
      <c r="I5" s="86"/>
      <c r="J5" s="86"/>
      <c r="K5" s="86"/>
      <c r="L5" s="86"/>
      <c r="M5" s="86"/>
      <c r="N5" s="86"/>
      <c r="O5" s="10">
        <f t="shared" si="0"/>
        <v>0</v>
      </c>
    </row>
    <row r="6" spans="1:16" ht="18" customHeight="1">
      <c r="B6" s="96" t="s">
        <v>2194</v>
      </c>
      <c r="C6" s="86"/>
      <c r="D6" s="86"/>
      <c r="E6" s="89"/>
      <c r="F6" s="86"/>
      <c r="G6" s="86"/>
      <c r="H6" s="86" t="s">
        <v>2195</v>
      </c>
      <c r="I6" s="86"/>
      <c r="J6" s="86"/>
      <c r="K6" s="86"/>
      <c r="L6" s="86"/>
      <c r="M6" s="86"/>
      <c r="N6" s="86"/>
      <c r="O6" s="10">
        <f t="shared" si="0"/>
        <v>0</v>
      </c>
    </row>
    <row r="7" spans="1:16" ht="18" customHeight="1">
      <c r="B7" s="96" t="s">
        <v>91</v>
      </c>
      <c r="C7" s="86"/>
      <c r="D7" s="86"/>
      <c r="E7" s="89"/>
      <c r="F7" s="86"/>
      <c r="G7" s="86"/>
      <c r="H7" s="86"/>
      <c r="I7" s="86"/>
      <c r="J7" s="86"/>
      <c r="K7" s="86"/>
      <c r="L7" s="86"/>
      <c r="M7" s="86"/>
      <c r="N7" s="86"/>
      <c r="O7" s="10">
        <f t="shared" si="0"/>
        <v>0</v>
      </c>
    </row>
    <row r="8" spans="1:16" ht="18" customHeight="1">
      <c r="B8" s="96" t="s">
        <v>92</v>
      </c>
      <c r="C8" s="86"/>
      <c r="D8" s="86"/>
      <c r="E8" s="89"/>
      <c r="F8" s="86"/>
      <c r="G8" s="86"/>
      <c r="H8" s="86"/>
      <c r="I8" s="86"/>
      <c r="J8" s="86"/>
      <c r="K8" s="86"/>
      <c r="L8" s="86"/>
      <c r="M8" s="86"/>
      <c r="N8" s="86"/>
      <c r="O8" s="10">
        <f t="shared" si="0"/>
        <v>0</v>
      </c>
    </row>
    <row r="9" spans="1:16">
      <c r="B9" s="96" t="s">
        <v>93</v>
      </c>
      <c r="C9" s="86"/>
      <c r="D9" s="86"/>
      <c r="E9" s="89"/>
      <c r="F9" s="86"/>
      <c r="G9" s="86"/>
      <c r="H9" s="86"/>
      <c r="I9" s="86"/>
      <c r="J9" s="86"/>
      <c r="K9" s="86"/>
      <c r="L9" s="86"/>
      <c r="M9" s="86"/>
      <c r="N9" s="86"/>
      <c r="O9" s="10">
        <f t="shared" si="0"/>
        <v>0</v>
      </c>
    </row>
    <row r="10" spans="1:16">
      <c r="B10" s="96" t="s">
        <v>94</v>
      </c>
      <c r="C10" s="86"/>
      <c r="D10" s="86"/>
      <c r="E10" s="89"/>
      <c r="F10" s="86"/>
      <c r="G10" s="86"/>
      <c r="H10" s="86"/>
      <c r="I10" s="86"/>
      <c r="J10" s="86"/>
      <c r="K10" s="86"/>
      <c r="L10" s="86"/>
      <c r="M10" s="86"/>
      <c r="N10" s="86"/>
      <c r="O10" s="10">
        <f t="shared" si="0"/>
        <v>0</v>
      </c>
    </row>
    <row r="12" spans="1:16">
      <c r="A12" s="92" t="s">
        <v>100</v>
      </c>
      <c r="B12" s="96" t="s">
        <v>146</v>
      </c>
      <c r="C12" s="86" t="s">
        <v>95</v>
      </c>
      <c r="D12" s="86"/>
      <c r="E12" s="86" t="s">
        <v>147</v>
      </c>
      <c r="F12" s="86">
        <v>0.25</v>
      </c>
      <c r="G12" s="86" t="s">
        <v>143</v>
      </c>
      <c r="H12" s="86" t="s">
        <v>148</v>
      </c>
      <c r="I12" s="86" t="s">
        <v>149</v>
      </c>
      <c r="J12" s="86" t="s">
        <v>150</v>
      </c>
      <c r="K12" s="86">
        <v>2011</v>
      </c>
      <c r="L12" s="89"/>
      <c r="M12" s="89" t="s">
        <v>151</v>
      </c>
      <c r="N12" s="88">
        <v>1000</v>
      </c>
      <c r="O12" s="10">
        <f>F12*N12</f>
        <v>250</v>
      </c>
      <c r="P12" s="104"/>
    </row>
    <row r="14" spans="1:16" s="107" customFormat="1" ht="18" customHeight="1">
      <c r="A14" s="100" t="s">
        <v>152</v>
      </c>
      <c r="B14" s="125" t="s">
        <v>153</v>
      </c>
      <c r="C14" s="105" t="s">
        <v>95</v>
      </c>
      <c r="D14" s="105">
        <v>17</v>
      </c>
      <c r="E14" s="105" t="s">
        <v>154</v>
      </c>
      <c r="F14" s="105">
        <v>0.25</v>
      </c>
      <c r="G14" s="86" t="s">
        <v>143</v>
      </c>
      <c r="H14" s="105"/>
      <c r="I14" s="105"/>
      <c r="J14" s="105"/>
      <c r="K14" s="105"/>
      <c r="L14" s="105" t="s">
        <v>155</v>
      </c>
      <c r="M14" s="105"/>
      <c r="N14" s="106">
        <v>3910</v>
      </c>
      <c r="O14" s="10">
        <f t="shared" ref="O14:O55" si="1">F14*N14</f>
        <v>977.5</v>
      </c>
    </row>
    <row r="15" spans="1:16" s="107" customFormat="1" ht="18" customHeight="1">
      <c r="A15" s="100"/>
      <c r="B15" s="125" t="s">
        <v>156</v>
      </c>
      <c r="C15" s="105" t="s">
        <v>95</v>
      </c>
      <c r="D15" s="105">
        <v>2</v>
      </c>
      <c r="E15" s="105" t="s">
        <v>157</v>
      </c>
      <c r="F15" s="105">
        <v>0.25</v>
      </c>
      <c r="G15" s="86" t="s">
        <v>143</v>
      </c>
      <c r="H15" s="105"/>
      <c r="I15" s="105"/>
      <c r="J15" s="105"/>
      <c r="K15" s="105"/>
      <c r="L15" s="105" t="s">
        <v>128</v>
      </c>
      <c r="M15" s="105"/>
      <c r="N15" s="106">
        <v>245</v>
      </c>
      <c r="O15" s="10">
        <f t="shared" si="1"/>
        <v>61.25</v>
      </c>
    </row>
    <row r="16" spans="1:16" s="107" customFormat="1" ht="18" customHeight="1">
      <c r="A16" s="100"/>
      <c r="B16" s="125" t="s">
        <v>158</v>
      </c>
      <c r="C16" s="105"/>
      <c r="D16" s="105"/>
      <c r="E16" s="105" t="s">
        <v>159</v>
      </c>
      <c r="F16" s="105">
        <v>0.25</v>
      </c>
      <c r="G16" s="86" t="s">
        <v>143</v>
      </c>
      <c r="H16" s="105"/>
      <c r="I16" s="105"/>
      <c r="J16" s="105"/>
      <c r="K16" s="105"/>
      <c r="L16" s="105"/>
      <c r="M16" s="105" t="s">
        <v>73</v>
      </c>
      <c r="N16" s="106">
        <v>286</v>
      </c>
      <c r="O16" s="10">
        <f t="shared" si="1"/>
        <v>71.5</v>
      </c>
    </row>
    <row r="17" spans="1:15" s="107" customFormat="1" ht="18" customHeight="1">
      <c r="A17" s="100"/>
      <c r="B17" s="125" t="s">
        <v>160</v>
      </c>
      <c r="C17" s="105" t="s">
        <v>95</v>
      </c>
      <c r="D17" s="105">
        <v>2</v>
      </c>
      <c r="E17" s="105" t="s">
        <v>161</v>
      </c>
      <c r="F17" s="105">
        <v>0.25</v>
      </c>
      <c r="G17" s="86" t="s">
        <v>143</v>
      </c>
      <c r="H17" s="105"/>
      <c r="I17" s="105"/>
      <c r="J17" s="105"/>
      <c r="K17" s="105"/>
      <c r="L17" s="105"/>
      <c r="M17" s="105"/>
      <c r="N17" s="106">
        <v>200</v>
      </c>
      <c r="O17" s="10">
        <f t="shared" si="1"/>
        <v>50</v>
      </c>
    </row>
    <row r="18" spans="1:15">
      <c r="A18" s="97"/>
      <c r="B18" s="96" t="s">
        <v>235</v>
      </c>
      <c r="C18" s="86" t="s">
        <v>2161</v>
      </c>
      <c r="D18" s="86">
        <v>1</v>
      </c>
      <c r="E18" s="86" t="s">
        <v>2436</v>
      </c>
      <c r="F18" s="86">
        <v>0.75</v>
      </c>
      <c r="G18" s="86" t="s">
        <v>17</v>
      </c>
      <c r="H18" s="86"/>
      <c r="I18" s="86"/>
      <c r="J18" s="86"/>
      <c r="K18" s="86"/>
      <c r="L18" s="88"/>
      <c r="M18" s="88"/>
      <c r="N18" s="89"/>
      <c r="O18" s="10">
        <f t="shared" si="1"/>
        <v>0</v>
      </c>
    </row>
    <row r="19" spans="1:15">
      <c r="A19" s="97"/>
      <c r="B19" s="96" t="s">
        <v>235</v>
      </c>
      <c r="C19" s="86" t="s">
        <v>2161</v>
      </c>
      <c r="D19" s="86">
        <v>1</v>
      </c>
      <c r="E19" s="86" t="s">
        <v>236</v>
      </c>
      <c r="F19" s="86">
        <v>0.75</v>
      </c>
      <c r="G19" s="86" t="s">
        <v>17</v>
      </c>
      <c r="H19" s="86"/>
      <c r="I19" s="86"/>
      <c r="J19" s="86"/>
      <c r="K19" s="86"/>
      <c r="L19" s="88"/>
      <c r="M19" s="88"/>
      <c r="N19" s="89"/>
      <c r="O19" s="10">
        <f t="shared" si="1"/>
        <v>0</v>
      </c>
    </row>
    <row r="20" spans="1:15">
      <c r="A20" s="97"/>
      <c r="B20" s="96" t="s">
        <v>235</v>
      </c>
      <c r="C20" s="86" t="s">
        <v>2161</v>
      </c>
      <c r="D20" s="86">
        <v>1</v>
      </c>
      <c r="E20" s="86" t="s">
        <v>237</v>
      </c>
      <c r="F20" s="86">
        <v>0.75</v>
      </c>
      <c r="G20" s="86" t="s">
        <v>17</v>
      </c>
      <c r="H20" s="86"/>
      <c r="I20" s="86"/>
      <c r="J20" s="86"/>
      <c r="K20" s="86"/>
      <c r="L20" s="88"/>
      <c r="M20" s="88"/>
      <c r="N20" s="89"/>
      <c r="O20" s="10">
        <f t="shared" si="1"/>
        <v>0</v>
      </c>
    </row>
    <row r="21" spans="1:15">
      <c r="A21" s="97"/>
      <c r="B21" s="96" t="s">
        <v>235</v>
      </c>
      <c r="C21" s="86" t="s">
        <v>2161</v>
      </c>
      <c r="D21" s="86">
        <v>1</v>
      </c>
      <c r="E21" s="86" t="s">
        <v>238</v>
      </c>
      <c r="F21" s="86">
        <v>0.5</v>
      </c>
      <c r="G21" s="86" t="s">
        <v>21</v>
      </c>
      <c r="H21" s="86"/>
      <c r="I21" s="86"/>
      <c r="J21" s="86"/>
      <c r="K21" s="86"/>
      <c r="L21" s="88"/>
      <c r="M21" s="88"/>
      <c r="N21" s="89"/>
      <c r="O21" s="10">
        <f t="shared" si="1"/>
        <v>0</v>
      </c>
    </row>
    <row r="22" spans="1:15">
      <c r="A22" s="97"/>
      <c r="B22" s="96" t="s">
        <v>235</v>
      </c>
      <c r="C22" s="86" t="s">
        <v>2161</v>
      </c>
      <c r="D22" s="86">
        <v>1</v>
      </c>
      <c r="E22" s="86" t="s">
        <v>239</v>
      </c>
      <c r="F22" s="86">
        <v>0.75</v>
      </c>
      <c r="G22" s="86" t="s">
        <v>17</v>
      </c>
      <c r="H22" s="86"/>
      <c r="I22" s="86"/>
      <c r="J22" s="86"/>
      <c r="K22" s="86"/>
      <c r="L22" s="88"/>
      <c r="M22" s="88"/>
      <c r="N22" s="89"/>
      <c r="O22" s="10">
        <f t="shared" si="1"/>
        <v>0</v>
      </c>
    </row>
    <row r="23" spans="1:15">
      <c r="A23" s="97"/>
      <c r="B23" s="96" t="s">
        <v>235</v>
      </c>
      <c r="C23" s="86" t="s">
        <v>2161</v>
      </c>
      <c r="D23" s="86">
        <v>1</v>
      </c>
      <c r="E23" s="86" t="s">
        <v>240</v>
      </c>
      <c r="F23" s="86">
        <v>0.75</v>
      </c>
      <c r="G23" s="86" t="s">
        <v>17</v>
      </c>
      <c r="H23" s="86"/>
      <c r="I23" s="86"/>
      <c r="J23" s="86"/>
      <c r="K23" s="86"/>
      <c r="L23" s="88"/>
      <c r="M23" s="88"/>
      <c r="N23" s="89"/>
      <c r="O23" s="10">
        <f t="shared" si="1"/>
        <v>0</v>
      </c>
    </row>
    <row r="24" spans="1:15">
      <c r="A24" s="97"/>
      <c r="B24" s="96" t="s">
        <v>235</v>
      </c>
      <c r="C24" s="86" t="s">
        <v>2161</v>
      </c>
      <c r="D24" s="86">
        <v>3</v>
      </c>
      <c r="E24" s="86" t="s">
        <v>241</v>
      </c>
      <c r="F24" s="86">
        <v>0.75</v>
      </c>
      <c r="G24" s="86" t="s">
        <v>17</v>
      </c>
      <c r="H24" s="86"/>
      <c r="I24" s="86"/>
      <c r="J24" s="86"/>
      <c r="K24" s="86"/>
      <c r="L24" s="88"/>
      <c r="M24" s="88"/>
      <c r="N24" s="89"/>
      <c r="O24" s="10">
        <f t="shared" si="1"/>
        <v>0</v>
      </c>
    </row>
    <row r="25" spans="1:15">
      <c r="A25" s="97"/>
      <c r="B25" s="96" t="s">
        <v>235</v>
      </c>
      <c r="C25" s="86" t="s">
        <v>2161</v>
      </c>
      <c r="D25" s="86">
        <v>1</v>
      </c>
      <c r="E25" s="86" t="s">
        <v>242</v>
      </c>
      <c r="F25" s="86">
        <v>0.75</v>
      </c>
      <c r="G25" s="86" t="s">
        <v>17</v>
      </c>
      <c r="H25" s="86"/>
      <c r="I25" s="86"/>
      <c r="J25" s="86"/>
      <c r="K25" s="86"/>
      <c r="L25" s="88"/>
      <c r="M25" s="88"/>
      <c r="N25" s="89"/>
      <c r="O25" s="10">
        <f t="shared" si="1"/>
        <v>0</v>
      </c>
    </row>
    <row r="26" spans="1:15" s="107" customFormat="1">
      <c r="A26" s="108"/>
      <c r="B26" s="125" t="s">
        <v>162</v>
      </c>
      <c r="C26" s="105" t="s">
        <v>20</v>
      </c>
      <c r="D26" s="105"/>
      <c r="E26" s="105" t="s">
        <v>163</v>
      </c>
      <c r="F26" s="105">
        <v>0.25</v>
      </c>
      <c r="G26" s="86" t="s">
        <v>143</v>
      </c>
      <c r="H26" s="105"/>
      <c r="I26" s="105"/>
      <c r="J26" s="105"/>
      <c r="K26" s="105"/>
      <c r="L26" s="105"/>
      <c r="M26" s="105"/>
      <c r="N26" s="106">
        <v>70</v>
      </c>
      <c r="O26" s="10">
        <f t="shared" si="1"/>
        <v>17.5</v>
      </c>
    </row>
    <row r="27" spans="1:15" s="107" customFormat="1" ht="30.75">
      <c r="A27" s="108"/>
      <c r="B27" s="119" t="s">
        <v>81</v>
      </c>
      <c r="C27" s="105"/>
      <c r="D27" s="105"/>
      <c r="E27" s="105" t="s">
        <v>164</v>
      </c>
      <c r="F27" s="105">
        <v>0.5</v>
      </c>
      <c r="G27" s="105" t="s">
        <v>21</v>
      </c>
      <c r="H27" s="105"/>
      <c r="I27" s="105"/>
      <c r="J27" s="105"/>
      <c r="K27" s="105"/>
      <c r="L27" s="105"/>
      <c r="M27" s="105"/>
      <c r="N27" s="106"/>
      <c r="O27" s="10">
        <f t="shared" si="1"/>
        <v>0</v>
      </c>
    </row>
    <row r="28" spans="1:15" s="107" customFormat="1">
      <c r="A28" s="108"/>
      <c r="B28" s="119" t="s">
        <v>81</v>
      </c>
      <c r="C28" s="105"/>
      <c r="D28" s="105"/>
      <c r="E28" s="105" t="s">
        <v>165</v>
      </c>
      <c r="F28" s="105">
        <v>0.75</v>
      </c>
      <c r="G28" s="105" t="s">
        <v>17</v>
      </c>
      <c r="H28" s="105"/>
      <c r="I28" s="105"/>
      <c r="J28" s="105"/>
      <c r="K28" s="105"/>
      <c r="L28" s="105"/>
      <c r="M28" s="105"/>
      <c r="N28" s="106"/>
      <c r="O28" s="10">
        <f t="shared" si="1"/>
        <v>0</v>
      </c>
    </row>
    <row r="29" spans="1:15" s="107" customFormat="1">
      <c r="A29" s="108"/>
      <c r="B29" s="119" t="s">
        <v>81</v>
      </c>
      <c r="C29" s="105"/>
      <c r="D29" s="105"/>
      <c r="E29" s="105" t="s">
        <v>166</v>
      </c>
      <c r="F29" s="105">
        <v>0.5</v>
      </c>
      <c r="G29" s="105" t="s">
        <v>21</v>
      </c>
      <c r="H29" s="105"/>
      <c r="I29" s="105"/>
      <c r="J29" s="105"/>
      <c r="K29" s="105"/>
      <c r="L29" s="105"/>
      <c r="M29" s="105"/>
      <c r="N29" s="106"/>
      <c r="O29" s="10">
        <f t="shared" si="1"/>
        <v>0</v>
      </c>
    </row>
    <row r="30" spans="1:15" s="107" customFormat="1">
      <c r="A30" s="108"/>
      <c r="B30" s="119" t="s">
        <v>81</v>
      </c>
      <c r="C30" s="105"/>
      <c r="D30" s="105"/>
      <c r="E30" s="105" t="s">
        <v>167</v>
      </c>
      <c r="F30" s="105">
        <v>0.5</v>
      </c>
      <c r="G30" s="105" t="s">
        <v>21</v>
      </c>
      <c r="H30" s="105"/>
      <c r="I30" s="105"/>
      <c r="J30" s="105"/>
      <c r="K30" s="105"/>
      <c r="L30" s="105"/>
      <c r="M30" s="105"/>
      <c r="N30" s="106"/>
      <c r="O30" s="10">
        <f t="shared" si="1"/>
        <v>0</v>
      </c>
    </row>
    <row r="31" spans="1:15" s="107" customFormat="1">
      <c r="A31" s="108"/>
      <c r="B31" s="119" t="s">
        <v>81</v>
      </c>
      <c r="C31" s="105"/>
      <c r="D31" s="105"/>
      <c r="E31" s="105" t="s">
        <v>168</v>
      </c>
      <c r="F31" s="105">
        <v>0.5</v>
      </c>
      <c r="G31" s="105" t="s">
        <v>21</v>
      </c>
      <c r="H31" s="105"/>
      <c r="I31" s="105"/>
      <c r="J31" s="105"/>
      <c r="K31" s="105"/>
      <c r="L31" s="105"/>
      <c r="M31" s="105"/>
      <c r="N31" s="106"/>
      <c r="O31" s="10">
        <f t="shared" si="1"/>
        <v>0</v>
      </c>
    </row>
    <row r="32" spans="1:15" s="107" customFormat="1">
      <c r="A32" s="108"/>
      <c r="B32" s="119" t="s">
        <v>81</v>
      </c>
      <c r="C32" s="105"/>
      <c r="D32" s="105"/>
      <c r="E32" s="105" t="s">
        <v>169</v>
      </c>
      <c r="F32" s="105">
        <v>0.75</v>
      </c>
      <c r="G32" s="105" t="s">
        <v>17</v>
      </c>
      <c r="H32" s="105"/>
      <c r="I32" s="105"/>
      <c r="J32" s="105"/>
      <c r="K32" s="105"/>
      <c r="L32" s="105"/>
      <c r="M32" s="105"/>
      <c r="N32" s="106"/>
      <c r="O32" s="10">
        <f t="shared" si="1"/>
        <v>0</v>
      </c>
    </row>
    <row r="33" spans="1:15" s="107" customFormat="1">
      <c r="A33" s="108"/>
      <c r="B33" s="119" t="s">
        <v>81</v>
      </c>
      <c r="C33" s="105"/>
      <c r="D33" s="105"/>
      <c r="E33" s="105" t="s">
        <v>170</v>
      </c>
      <c r="F33" s="105">
        <v>0.75</v>
      </c>
      <c r="G33" s="105" t="s">
        <v>17</v>
      </c>
      <c r="H33" s="105"/>
      <c r="I33" s="105"/>
      <c r="J33" s="105"/>
      <c r="K33" s="105"/>
      <c r="L33" s="105"/>
      <c r="M33" s="105"/>
      <c r="N33" s="106"/>
      <c r="O33" s="10">
        <f t="shared" si="1"/>
        <v>0</v>
      </c>
    </row>
    <row r="34" spans="1:15" s="107" customFormat="1">
      <c r="A34" s="108"/>
      <c r="B34" s="119" t="s">
        <v>81</v>
      </c>
      <c r="C34" s="105"/>
      <c r="D34" s="105"/>
      <c r="E34" s="105" t="s">
        <v>171</v>
      </c>
      <c r="F34" s="105">
        <v>0.25</v>
      </c>
      <c r="G34" s="105" t="s">
        <v>143</v>
      </c>
      <c r="H34" s="105"/>
      <c r="I34" s="105"/>
      <c r="J34" s="105"/>
      <c r="K34" s="105"/>
      <c r="L34" s="105"/>
      <c r="M34" s="105"/>
      <c r="N34" s="106"/>
      <c r="O34" s="10">
        <f t="shared" si="1"/>
        <v>0</v>
      </c>
    </row>
    <row r="35" spans="1:15" s="107" customFormat="1">
      <c r="A35" s="108"/>
      <c r="B35" s="119" t="s">
        <v>81</v>
      </c>
      <c r="C35" s="105"/>
      <c r="D35" s="105"/>
      <c r="E35" s="105" t="s">
        <v>172</v>
      </c>
      <c r="F35" s="105">
        <v>0.25</v>
      </c>
      <c r="G35" s="105" t="s">
        <v>143</v>
      </c>
      <c r="H35" s="105"/>
      <c r="I35" s="105"/>
      <c r="J35" s="105"/>
      <c r="K35" s="105"/>
      <c r="L35" s="105"/>
      <c r="M35" s="105"/>
      <c r="N35" s="106"/>
      <c r="O35" s="10">
        <f t="shared" si="1"/>
        <v>0</v>
      </c>
    </row>
    <row r="36" spans="1:15" s="107" customFormat="1">
      <c r="A36" s="108"/>
      <c r="B36" s="119" t="s">
        <v>81</v>
      </c>
      <c r="C36" s="105"/>
      <c r="D36" s="105"/>
      <c r="E36" s="105" t="s">
        <v>173</v>
      </c>
      <c r="F36" s="105">
        <v>0.75</v>
      </c>
      <c r="G36" s="105" t="s">
        <v>17</v>
      </c>
      <c r="H36" s="105"/>
      <c r="I36" s="105"/>
      <c r="J36" s="105"/>
      <c r="K36" s="105"/>
      <c r="L36" s="105"/>
      <c r="M36" s="105"/>
      <c r="N36" s="106"/>
      <c r="O36" s="10">
        <f t="shared" si="1"/>
        <v>0</v>
      </c>
    </row>
    <row r="37" spans="1:15" s="107" customFormat="1">
      <c r="A37" s="108"/>
      <c r="B37" s="119" t="s">
        <v>81</v>
      </c>
      <c r="C37" s="105"/>
      <c r="D37" s="105"/>
      <c r="E37" s="105" t="s">
        <v>174</v>
      </c>
      <c r="F37" s="105">
        <v>0.5</v>
      </c>
      <c r="G37" s="105" t="s">
        <v>21</v>
      </c>
      <c r="H37" s="105"/>
      <c r="I37" s="105"/>
      <c r="J37" s="105"/>
      <c r="K37" s="105"/>
      <c r="L37" s="105"/>
      <c r="M37" s="105"/>
      <c r="N37" s="106"/>
      <c r="O37" s="10">
        <f t="shared" si="1"/>
        <v>0</v>
      </c>
    </row>
    <row r="38" spans="1:15" s="107" customFormat="1">
      <c r="A38" s="108"/>
      <c r="B38" s="119" t="s">
        <v>81</v>
      </c>
      <c r="C38" s="105"/>
      <c r="D38" s="105"/>
      <c r="E38" s="105" t="s">
        <v>175</v>
      </c>
      <c r="F38" s="105">
        <v>0.5</v>
      </c>
      <c r="G38" s="105" t="s">
        <v>21</v>
      </c>
      <c r="H38" s="105"/>
      <c r="I38" s="105"/>
      <c r="J38" s="105"/>
      <c r="K38" s="105"/>
      <c r="L38" s="105"/>
      <c r="M38" s="105"/>
      <c r="N38" s="106"/>
      <c r="O38" s="10">
        <f t="shared" si="1"/>
        <v>0</v>
      </c>
    </row>
    <row r="39" spans="1:15" s="107" customFormat="1">
      <c r="A39" s="108"/>
      <c r="B39" s="119" t="s">
        <v>81</v>
      </c>
      <c r="C39" s="105"/>
      <c r="D39" s="105"/>
      <c r="E39" s="105" t="s">
        <v>176</v>
      </c>
      <c r="F39" s="105">
        <v>0.5</v>
      </c>
      <c r="G39" s="105" t="s">
        <v>21</v>
      </c>
      <c r="H39" s="105"/>
      <c r="I39" s="105"/>
      <c r="J39" s="105"/>
      <c r="K39" s="105"/>
      <c r="L39" s="105"/>
      <c r="M39" s="105"/>
      <c r="N39" s="106"/>
      <c r="O39" s="10">
        <f t="shared" si="1"/>
        <v>0</v>
      </c>
    </row>
    <row r="40" spans="1:15" s="107" customFormat="1">
      <c r="A40" s="108"/>
      <c r="B40" s="119" t="s">
        <v>81</v>
      </c>
      <c r="C40" s="105"/>
      <c r="D40" s="105"/>
      <c r="E40" s="105" t="s">
        <v>177</v>
      </c>
      <c r="F40" s="105">
        <v>0.75</v>
      </c>
      <c r="G40" s="105" t="s">
        <v>17</v>
      </c>
      <c r="H40" s="105"/>
      <c r="I40" s="105"/>
      <c r="J40" s="105"/>
      <c r="K40" s="105"/>
      <c r="L40" s="105"/>
      <c r="M40" s="105"/>
      <c r="N40" s="106"/>
      <c r="O40" s="10">
        <f t="shared" si="1"/>
        <v>0</v>
      </c>
    </row>
    <row r="41" spans="1:15" s="107" customFormat="1">
      <c r="A41" s="108"/>
      <c r="B41" s="119" t="s">
        <v>81</v>
      </c>
      <c r="C41" s="105"/>
      <c r="D41" s="105"/>
      <c r="E41" s="105" t="s">
        <v>178</v>
      </c>
      <c r="F41" s="105">
        <v>0.75</v>
      </c>
      <c r="G41" s="105" t="s">
        <v>17</v>
      </c>
      <c r="H41" s="105"/>
      <c r="I41" s="105"/>
      <c r="J41" s="105"/>
      <c r="K41" s="105"/>
      <c r="L41" s="105"/>
      <c r="M41" s="105"/>
      <c r="N41" s="106"/>
      <c r="O41" s="10">
        <f t="shared" si="1"/>
        <v>0</v>
      </c>
    </row>
    <row r="42" spans="1:15" s="107" customFormat="1">
      <c r="A42" s="108"/>
      <c r="B42" s="119" t="s">
        <v>81</v>
      </c>
      <c r="C42" s="105"/>
      <c r="D42" s="105"/>
      <c r="E42" s="105" t="s">
        <v>179</v>
      </c>
      <c r="F42" s="105">
        <v>0.75</v>
      </c>
      <c r="G42" s="105" t="s">
        <v>17</v>
      </c>
      <c r="H42" s="105"/>
      <c r="I42" s="105"/>
      <c r="J42" s="105"/>
      <c r="K42" s="105"/>
      <c r="L42" s="105"/>
      <c r="M42" s="105"/>
      <c r="N42" s="106"/>
      <c r="O42" s="10">
        <f t="shared" si="1"/>
        <v>0</v>
      </c>
    </row>
    <row r="43" spans="1:15">
      <c r="O43" s="10">
        <f t="shared" si="1"/>
        <v>0</v>
      </c>
    </row>
    <row r="44" spans="1:15">
      <c r="A44" s="92" t="s">
        <v>322</v>
      </c>
      <c r="B44" s="96" t="s">
        <v>489</v>
      </c>
      <c r="C44" s="86"/>
      <c r="D44" s="89"/>
      <c r="E44" s="93" t="s">
        <v>490</v>
      </c>
      <c r="F44" s="89"/>
      <c r="G44" s="86" t="s">
        <v>21</v>
      </c>
      <c r="H44" s="86"/>
      <c r="I44" s="86"/>
      <c r="J44" s="86"/>
      <c r="K44" s="86"/>
      <c r="L44" s="86"/>
      <c r="M44" s="86"/>
      <c r="N44" s="88"/>
      <c r="O44" s="10">
        <f t="shared" si="1"/>
        <v>0</v>
      </c>
    </row>
    <row r="45" spans="1:15">
      <c r="B45" s="96" t="s">
        <v>491</v>
      </c>
      <c r="C45" s="86"/>
      <c r="D45" s="89"/>
      <c r="E45" s="93" t="s">
        <v>492</v>
      </c>
      <c r="F45" s="89"/>
      <c r="G45" s="86" t="s">
        <v>21</v>
      </c>
      <c r="H45" s="86"/>
      <c r="I45" s="86"/>
      <c r="J45" s="86"/>
      <c r="K45" s="86"/>
      <c r="L45" s="86"/>
      <c r="M45" s="86"/>
      <c r="N45" s="88"/>
      <c r="O45" s="10">
        <f t="shared" si="1"/>
        <v>0</v>
      </c>
    </row>
    <row r="46" spans="1:15">
      <c r="B46" s="96" t="s">
        <v>493</v>
      </c>
      <c r="C46" s="86"/>
      <c r="D46" s="89"/>
      <c r="E46" s="93" t="s">
        <v>494</v>
      </c>
      <c r="F46" s="89"/>
      <c r="G46" s="86" t="s">
        <v>17</v>
      </c>
      <c r="H46" s="86"/>
      <c r="I46" s="86"/>
      <c r="J46" s="86"/>
      <c r="K46" s="86"/>
      <c r="L46" s="86"/>
      <c r="M46" s="86"/>
      <c r="N46" s="88"/>
      <c r="O46" s="10">
        <f t="shared" si="1"/>
        <v>0</v>
      </c>
    </row>
    <row r="47" spans="1:15">
      <c r="B47" s="96" t="s">
        <v>495</v>
      </c>
      <c r="C47" s="86"/>
      <c r="D47" s="89"/>
      <c r="E47" s="93" t="s">
        <v>496</v>
      </c>
      <c r="F47" s="89"/>
      <c r="G47" s="86" t="s">
        <v>21</v>
      </c>
      <c r="H47" s="86"/>
      <c r="I47" s="86"/>
      <c r="J47" s="86"/>
      <c r="K47" s="86"/>
      <c r="L47" s="86"/>
      <c r="M47" s="86"/>
      <c r="N47" s="88"/>
      <c r="O47" s="10">
        <f t="shared" si="1"/>
        <v>0</v>
      </c>
    </row>
    <row r="48" spans="1:15">
      <c r="B48" s="96" t="s">
        <v>2166</v>
      </c>
      <c r="C48" s="86"/>
      <c r="D48" s="89"/>
      <c r="E48" s="93" t="s">
        <v>2155</v>
      </c>
      <c r="F48" s="89"/>
      <c r="G48" s="86"/>
      <c r="H48" s="86"/>
      <c r="I48" s="86"/>
      <c r="J48" s="86"/>
      <c r="K48" s="86"/>
      <c r="L48" s="86"/>
      <c r="M48" s="86"/>
      <c r="N48" s="88"/>
      <c r="O48" s="10">
        <f t="shared" si="1"/>
        <v>0</v>
      </c>
    </row>
    <row r="49" spans="1:15">
      <c r="B49" s="96" t="s">
        <v>2153</v>
      </c>
      <c r="C49" s="86"/>
      <c r="D49" s="89"/>
      <c r="E49" s="93" t="s">
        <v>2154</v>
      </c>
      <c r="F49" s="89"/>
      <c r="G49" s="86"/>
      <c r="H49" s="86"/>
      <c r="I49" s="86"/>
      <c r="J49" s="86"/>
      <c r="K49" s="86"/>
      <c r="L49" s="86"/>
      <c r="M49" s="86"/>
      <c r="N49" s="88"/>
      <c r="O49" s="10">
        <f t="shared" si="1"/>
        <v>0</v>
      </c>
    </row>
    <row r="50" spans="1:15">
      <c r="B50" s="96" t="s">
        <v>497</v>
      </c>
      <c r="C50" s="86"/>
      <c r="D50" s="89"/>
      <c r="E50" s="93" t="s">
        <v>498</v>
      </c>
      <c r="F50" s="89"/>
      <c r="G50" s="86" t="s">
        <v>21</v>
      </c>
      <c r="H50" s="86"/>
      <c r="I50" s="86"/>
      <c r="J50" s="86"/>
      <c r="K50" s="86"/>
      <c r="L50" s="86"/>
      <c r="M50" s="86"/>
      <c r="N50" s="88"/>
      <c r="O50" s="10">
        <f t="shared" si="1"/>
        <v>0</v>
      </c>
    </row>
    <row r="51" spans="1:15">
      <c r="B51" s="96" t="s">
        <v>499</v>
      </c>
      <c r="C51" s="86"/>
      <c r="D51" s="89"/>
      <c r="E51" s="93" t="s">
        <v>500</v>
      </c>
      <c r="F51" s="89"/>
      <c r="G51" s="86" t="s">
        <v>21</v>
      </c>
      <c r="H51" s="86"/>
      <c r="I51" s="86"/>
      <c r="J51" s="86"/>
      <c r="K51" s="86"/>
      <c r="L51" s="86"/>
      <c r="M51" s="86"/>
      <c r="N51" s="88"/>
      <c r="O51" s="10">
        <f t="shared" si="1"/>
        <v>0</v>
      </c>
    </row>
    <row r="52" spans="1:15">
      <c r="B52" s="96" t="s">
        <v>2197</v>
      </c>
      <c r="C52" s="86"/>
      <c r="D52" s="98"/>
      <c r="E52" s="89" t="s">
        <v>2198</v>
      </c>
      <c r="F52" s="86">
        <v>0.5</v>
      </c>
      <c r="G52" s="86" t="s">
        <v>21</v>
      </c>
      <c r="H52" s="86"/>
      <c r="I52" s="86"/>
      <c r="J52" s="86"/>
      <c r="K52" s="86"/>
      <c r="L52" s="86"/>
      <c r="M52" s="86"/>
      <c r="N52" s="88">
        <v>5</v>
      </c>
      <c r="O52" s="10">
        <f t="shared" si="1"/>
        <v>2.5</v>
      </c>
    </row>
    <row r="53" spans="1:15">
      <c r="B53" s="96" t="s">
        <v>501</v>
      </c>
      <c r="C53" s="86"/>
      <c r="D53" s="89"/>
      <c r="E53" s="89"/>
      <c r="F53" s="86">
        <v>0.75</v>
      </c>
      <c r="G53" s="86" t="s">
        <v>17</v>
      </c>
      <c r="H53" s="89"/>
      <c r="I53" s="86"/>
      <c r="J53" s="86"/>
      <c r="K53" s="86"/>
      <c r="L53" s="86"/>
      <c r="M53" s="86"/>
      <c r="N53" s="88">
        <v>5</v>
      </c>
      <c r="O53" s="10">
        <f t="shared" si="1"/>
        <v>3.75</v>
      </c>
    </row>
    <row r="54" spans="1:15">
      <c r="B54" s="96" t="s">
        <v>502</v>
      </c>
      <c r="C54" s="86"/>
      <c r="D54" s="89"/>
      <c r="E54" s="89"/>
      <c r="F54" s="86">
        <v>0.75</v>
      </c>
      <c r="G54" s="86" t="s">
        <v>17</v>
      </c>
      <c r="H54" s="89"/>
      <c r="I54" s="86"/>
      <c r="J54" s="86"/>
      <c r="K54" s="86"/>
      <c r="L54" s="86"/>
      <c r="M54" s="86"/>
      <c r="N54" s="88">
        <v>5</v>
      </c>
      <c r="O54" s="10">
        <f t="shared" si="1"/>
        <v>3.75</v>
      </c>
    </row>
    <row r="55" spans="1:15">
      <c r="B55" s="96" t="s">
        <v>2199</v>
      </c>
      <c r="C55" s="86"/>
      <c r="D55" s="89"/>
      <c r="E55" s="89" t="s">
        <v>2200</v>
      </c>
      <c r="F55" s="86">
        <v>0.75</v>
      </c>
      <c r="G55" s="86" t="s">
        <v>17</v>
      </c>
      <c r="H55" s="89"/>
      <c r="I55" s="86"/>
      <c r="J55" s="86"/>
      <c r="K55" s="86"/>
      <c r="L55" s="86"/>
      <c r="M55" s="86"/>
      <c r="N55" s="88">
        <v>5</v>
      </c>
      <c r="O55" s="10">
        <f t="shared" si="1"/>
        <v>3.75</v>
      </c>
    </row>
    <row r="57" spans="1:15" ht="47.25">
      <c r="A57" s="92" t="s">
        <v>274</v>
      </c>
      <c r="B57" s="96" t="s">
        <v>534</v>
      </c>
      <c r="C57" s="86" t="s">
        <v>20</v>
      </c>
      <c r="D57" s="86">
        <v>2</v>
      </c>
      <c r="E57" s="86" t="s">
        <v>527</v>
      </c>
      <c r="F57" s="86">
        <v>0.25</v>
      </c>
      <c r="G57" s="86" t="s">
        <v>46</v>
      </c>
      <c r="H57" s="86"/>
      <c r="I57" s="86"/>
      <c r="J57" s="86"/>
      <c r="K57" s="86"/>
      <c r="L57" s="86"/>
      <c r="M57" s="86"/>
      <c r="N57" s="88">
        <v>200</v>
      </c>
      <c r="O57" s="10">
        <f t="shared" ref="O57:O65" si="2">F57*N57</f>
        <v>50</v>
      </c>
    </row>
    <row r="58" spans="1:15">
      <c r="B58" s="96" t="s">
        <v>528</v>
      </c>
      <c r="C58" s="86" t="s">
        <v>20</v>
      </c>
      <c r="D58" s="86"/>
      <c r="E58" s="86" t="s">
        <v>529</v>
      </c>
      <c r="F58" s="86">
        <v>0.25</v>
      </c>
      <c r="G58" s="86" t="s">
        <v>143</v>
      </c>
      <c r="H58" s="86" t="s">
        <v>530</v>
      </c>
      <c r="I58" s="86"/>
      <c r="J58" s="86"/>
      <c r="K58" s="86"/>
      <c r="L58" s="86"/>
      <c r="M58" s="86"/>
      <c r="N58" s="88">
        <v>60</v>
      </c>
      <c r="O58" s="10">
        <f t="shared" si="2"/>
        <v>15</v>
      </c>
    </row>
    <row r="59" spans="1:15">
      <c r="A59" s="97"/>
      <c r="B59" s="96" t="s">
        <v>305</v>
      </c>
      <c r="C59" s="86" t="s">
        <v>2161</v>
      </c>
      <c r="D59" s="86">
        <v>2</v>
      </c>
      <c r="E59" s="86" t="s">
        <v>306</v>
      </c>
      <c r="F59" s="86"/>
      <c r="G59" s="86"/>
      <c r="H59" s="86"/>
      <c r="I59" s="86"/>
      <c r="J59" s="86"/>
      <c r="K59" s="86"/>
      <c r="L59" s="88"/>
      <c r="M59" s="88"/>
      <c r="N59" s="89"/>
      <c r="O59" s="10">
        <f t="shared" si="2"/>
        <v>0</v>
      </c>
    </row>
    <row r="60" spans="1:15">
      <c r="B60" s="96" t="s">
        <v>531</v>
      </c>
      <c r="C60" s="86"/>
      <c r="D60" s="86"/>
      <c r="E60" s="86"/>
      <c r="F60" s="86">
        <v>0.25</v>
      </c>
      <c r="G60" s="86"/>
      <c r="H60" s="86"/>
      <c r="I60" s="86"/>
      <c r="J60" s="86"/>
      <c r="K60" s="86"/>
      <c r="L60" s="86"/>
      <c r="M60" s="86"/>
      <c r="N60" s="88">
        <v>75</v>
      </c>
      <c r="O60" s="10">
        <f t="shared" si="2"/>
        <v>18.75</v>
      </c>
    </row>
    <row r="61" spans="1:15">
      <c r="B61" s="96" t="s">
        <v>532</v>
      </c>
      <c r="C61" s="86"/>
      <c r="D61" s="86"/>
      <c r="E61" s="86"/>
      <c r="F61" s="86">
        <v>0.25</v>
      </c>
      <c r="G61" s="86"/>
      <c r="H61" s="86"/>
      <c r="I61" s="86"/>
      <c r="J61" s="86"/>
      <c r="K61" s="86"/>
      <c r="L61" s="86"/>
      <c r="M61" s="86"/>
      <c r="N61" s="88">
        <v>70</v>
      </c>
      <c r="O61" s="10">
        <f t="shared" si="2"/>
        <v>17.5</v>
      </c>
    </row>
    <row r="62" spans="1:15">
      <c r="A62" s="97"/>
      <c r="B62" s="96" t="s">
        <v>524</v>
      </c>
      <c r="C62" s="86" t="s">
        <v>2161</v>
      </c>
      <c r="D62" s="86">
        <v>2</v>
      </c>
      <c r="E62" s="86" t="s">
        <v>525</v>
      </c>
      <c r="F62" s="86">
        <v>0.5</v>
      </c>
      <c r="G62" s="86" t="s">
        <v>21</v>
      </c>
      <c r="H62" s="86"/>
      <c r="I62" s="86"/>
      <c r="J62" s="86"/>
      <c r="K62" s="86"/>
      <c r="L62" s="88"/>
      <c r="M62" s="88"/>
      <c r="N62" s="89"/>
      <c r="O62" s="10">
        <f t="shared" si="2"/>
        <v>0</v>
      </c>
    </row>
    <row r="63" spans="1:15">
      <c r="A63" s="97"/>
      <c r="B63" s="96" t="s">
        <v>526</v>
      </c>
      <c r="C63" s="86" t="s">
        <v>2161</v>
      </c>
      <c r="D63" s="86">
        <v>3</v>
      </c>
      <c r="E63" s="86" t="s">
        <v>2437</v>
      </c>
      <c r="F63" s="86">
        <v>0.5</v>
      </c>
      <c r="G63" s="86" t="s">
        <v>21</v>
      </c>
      <c r="H63" s="86"/>
      <c r="I63" s="86"/>
      <c r="J63" s="86"/>
      <c r="K63" s="86"/>
      <c r="L63" s="88"/>
      <c r="M63" s="88"/>
      <c r="N63" s="89"/>
      <c r="O63" s="10">
        <f t="shared" si="2"/>
        <v>0</v>
      </c>
    </row>
    <row r="64" spans="1:15">
      <c r="A64" s="97"/>
      <c r="B64" s="96" t="s">
        <v>2414</v>
      </c>
      <c r="C64" s="86" t="s">
        <v>2161</v>
      </c>
      <c r="D64" s="86">
        <v>1</v>
      </c>
      <c r="E64" s="86" t="s">
        <v>2442</v>
      </c>
      <c r="F64" s="86"/>
      <c r="G64" s="86"/>
      <c r="H64" s="86"/>
      <c r="I64" s="86"/>
      <c r="J64" s="86"/>
      <c r="K64" s="86"/>
      <c r="L64" s="88"/>
      <c r="M64" s="88"/>
      <c r="N64" s="89"/>
      <c r="O64" s="10">
        <f t="shared" si="2"/>
        <v>0</v>
      </c>
    </row>
    <row r="65" spans="1:19">
      <c r="B65" s="96" t="s">
        <v>533</v>
      </c>
      <c r="C65" s="86"/>
      <c r="D65" s="86"/>
      <c r="E65" s="86"/>
      <c r="F65" s="86">
        <v>0.1</v>
      </c>
      <c r="G65" s="86" t="s">
        <v>143</v>
      </c>
      <c r="H65" s="86"/>
      <c r="I65" s="86"/>
      <c r="J65" s="86"/>
      <c r="K65" s="86"/>
      <c r="L65" s="86"/>
      <c r="M65" s="86"/>
      <c r="N65" s="88">
        <v>1200</v>
      </c>
      <c r="O65" s="10">
        <f t="shared" si="2"/>
        <v>120</v>
      </c>
    </row>
    <row r="66" spans="1:19">
      <c r="D66" s="91"/>
      <c r="E66" s="91"/>
      <c r="F66" s="91"/>
      <c r="H66" s="91"/>
      <c r="I66" s="91"/>
      <c r="J66" s="91"/>
      <c r="K66" s="91"/>
      <c r="L66" s="91"/>
      <c r="M66" s="91"/>
      <c r="N66" s="109"/>
      <c r="O66" s="109"/>
    </row>
    <row r="67" spans="1:19">
      <c r="A67" s="92" t="s">
        <v>928</v>
      </c>
      <c r="B67" s="96" t="s">
        <v>954</v>
      </c>
      <c r="C67" s="86" t="s">
        <v>2161</v>
      </c>
      <c r="D67" s="86">
        <v>1</v>
      </c>
      <c r="E67" s="89" t="s">
        <v>955</v>
      </c>
      <c r="F67" s="89">
        <v>0.25</v>
      </c>
      <c r="G67" s="86" t="s">
        <v>143</v>
      </c>
      <c r="H67" s="89"/>
      <c r="I67" s="89"/>
      <c r="J67" s="89"/>
      <c r="K67" s="86"/>
      <c r="L67" s="86"/>
      <c r="M67" s="86"/>
      <c r="N67" s="88">
        <v>150</v>
      </c>
      <c r="O67" s="10">
        <f t="shared" ref="O67:O71" si="3">F67*N67</f>
        <v>37.5</v>
      </c>
    </row>
    <row r="68" spans="1:19" s="7" customFormat="1" ht="19.5" customHeight="1">
      <c r="A68" s="18"/>
      <c r="B68" s="126" t="s">
        <v>2453</v>
      </c>
      <c r="C68" s="2" t="s">
        <v>2161</v>
      </c>
      <c r="D68" s="2">
        <v>2</v>
      </c>
      <c r="E68" s="2"/>
      <c r="F68" s="2">
        <v>0.75</v>
      </c>
      <c r="G68" s="2" t="s">
        <v>17</v>
      </c>
      <c r="H68" s="2"/>
      <c r="I68" s="2"/>
      <c r="J68" s="2"/>
      <c r="K68" s="2"/>
      <c r="L68" s="2"/>
      <c r="M68" s="10"/>
      <c r="N68" s="10">
        <f>F68*M68</f>
        <v>0</v>
      </c>
      <c r="O68" s="10">
        <f t="shared" si="3"/>
        <v>0</v>
      </c>
    </row>
    <row r="69" spans="1:19" s="7" customFormat="1">
      <c r="A69" s="18"/>
      <c r="B69" s="126" t="s">
        <v>965</v>
      </c>
      <c r="C69" s="2" t="s">
        <v>2161</v>
      </c>
      <c r="D69" s="2">
        <v>1</v>
      </c>
      <c r="E69" s="2"/>
      <c r="F69" s="2">
        <v>0.75</v>
      </c>
      <c r="G69" s="2" t="s">
        <v>17</v>
      </c>
      <c r="H69" s="2"/>
      <c r="I69" s="2"/>
      <c r="J69" s="2"/>
      <c r="K69" s="2"/>
      <c r="L69" s="2"/>
      <c r="M69" s="10"/>
      <c r="N69" s="10">
        <f>F69*M69</f>
        <v>0</v>
      </c>
      <c r="O69" s="10">
        <f t="shared" si="3"/>
        <v>0</v>
      </c>
    </row>
    <row r="70" spans="1:19" s="7" customFormat="1">
      <c r="A70" s="18"/>
      <c r="B70" s="126" t="s">
        <v>966</v>
      </c>
      <c r="C70" s="2" t="s">
        <v>2161</v>
      </c>
      <c r="D70" s="2">
        <v>1</v>
      </c>
      <c r="E70" s="2"/>
      <c r="F70" s="2">
        <v>0.75</v>
      </c>
      <c r="G70" s="2" t="s">
        <v>17</v>
      </c>
      <c r="H70" s="2"/>
      <c r="I70" s="2"/>
      <c r="J70" s="2"/>
      <c r="K70" s="2"/>
      <c r="L70" s="2"/>
      <c r="M70" s="10"/>
      <c r="N70" s="10">
        <f>F70*M70</f>
        <v>0</v>
      </c>
      <c r="O70" s="10">
        <f t="shared" si="3"/>
        <v>0</v>
      </c>
    </row>
    <row r="71" spans="1:19" s="149" customFormat="1" ht="18.75">
      <c r="A71" s="147"/>
      <c r="B71" s="153" t="s">
        <v>305</v>
      </c>
      <c r="C71" s="1" t="s">
        <v>2464</v>
      </c>
      <c r="D71" s="1">
        <v>2</v>
      </c>
      <c r="E71" s="1" t="s">
        <v>2465</v>
      </c>
      <c r="F71" s="2">
        <v>0.25</v>
      </c>
      <c r="G71" s="1" t="s">
        <v>143</v>
      </c>
      <c r="H71" s="148"/>
      <c r="I71" s="148"/>
      <c r="J71" s="1"/>
      <c r="K71" s="1"/>
      <c r="L71" s="1"/>
      <c r="M71" s="1"/>
      <c r="N71" s="1"/>
      <c r="O71" s="10">
        <f t="shared" si="3"/>
        <v>0</v>
      </c>
      <c r="P71" s="152"/>
      <c r="Q71" s="150"/>
      <c r="R71" s="150"/>
      <c r="S71" s="151"/>
    </row>
    <row r="73" spans="1:19" ht="30.75">
      <c r="A73" s="92" t="s">
        <v>1005</v>
      </c>
      <c r="B73" s="96" t="s">
        <v>2040</v>
      </c>
      <c r="C73" s="86"/>
      <c r="D73" s="86"/>
      <c r="E73" s="86" t="s">
        <v>2163</v>
      </c>
      <c r="F73" s="86">
        <v>0.25</v>
      </c>
      <c r="G73" s="86" t="s">
        <v>46</v>
      </c>
      <c r="H73" s="86"/>
      <c r="I73" s="86"/>
      <c r="J73" s="86"/>
      <c r="K73" s="86"/>
      <c r="L73" s="86"/>
      <c r="M73" s="86"/>
      <c r="N73" s="88">
        <v>100</v>
      </c>
      <c r="O73" s="10">
        <f t="shared" ref="O73:O89" si="4">F73*N73</f>
        <v>25</v>
      </c>
    </row>
    <row r="74" spans="1:19">
      <c r="B74" s="96" t="s">
        <v>1006</v>
      </c>
      <c r="C74" s="118"/>
      <c r="D74" s="86"/>
      <c r="E74" s="86" t="s">
        <v>1007</v>
      </c>
      <c r="F74" s="86"/>
      <c r="G74" s="86" t="s">
        <v>21</v>
      </c>
      <c r="H74" s="86"/>
      <c r="I74" s="86"/>
      <c r="J74" s="86"/>
      <c r="K74" s="86"/>
      <c r="L74" s="86"/>
      <c r="M74" s="86"/>
      <c r="N74" s="86"/>
      <c r="O74" s="10">
        <f t="shared" si="4"/>
        <v>0</v>
      </c>
    </row>
    <row r="75" spans="1:19">
      <c r="O75" s="10">
        <f t="shared" si="4"/>
        <v>0</v>
      </c>
    </row>
    <row r="76" spans="1:19">
      <c r="A76" s="92" t="s">
        <v>1017</v>
      </c>
      <c r="B76" s="96" t="s">
        <v>1043</v>
      </c>
      <c r="C76" s="86"/>
      <c r="D76" s="86"/>
      <c r="E76" s="86" t="s">
        <v>1007</v>
      </c>
      <c r="F76" s="86">
        <v>0.5</v>
      </c>
      <c r="G76" s="86" t="s">
        <v>21</v>
      </c>
      <c r="H76" s="86"/>
      <c r="I76" s="86"/>
      <c r="J76" s="86"/>
      <c r="K76" s="86"/>
      <c r="L76" s="86"/>
      <c r="M76" s="86"/>
      <c r="N76" s="88"/>
      <c r="O76" s="10">
        <f t="shared" si="4"/>
        <v>0</v>
      </c>
    </row>
    <row r="77" spans="1:19">
      <c r="B77" s="96" t="s">
        <v>1006</v>
      </c>
      <c r="C77" s="86"/>
      <c r="D77" s="86"/>
      <c r="E77" s="86" t="s">
        <v>1007</v>
      </c>
      <c r="F77" s="86"/>
      <c r="G77" s="86"/>
      <c r="H77" s="86"/>
      <c r="I77" s="86"/>
      <c r="J77" s="86"/>
      <c r="K77" s="86"/>
      <c r="L77" s="86"/>
      <c r="M77" s="86"/>
      <c r="N77" s="88"/>
      <c r="O77" s="10">
        <f t="shared" si="4"/>
        <v>0</v>
      </c>
    </row>
    <row r="78" spans="1:19">
      <c r="B78" s="96" t="s">
        <v>1044</v>
      </c>
      <c r="C78" s="86"/>
      <c r="D78" s="86"/>
      <c r="E78" s="86"/>
      <c r="F78" s="86">
        <v>0.5</v>
      </c>
      <c r="G78" s="86" t="s">
        <v>21</v>
      </c>
      <c r="H78" s="86"/>
      <c r="I78" s="86"/>
      <c r="J78" s="86"/>
      <c r="K78" s="86"/>
      <c r="L78" s="86"/>
      <c r="M78" s="86"/>
      <c r="N78" s="86"/>
      <c r="O78" s="10">
        <f t="shared" si="4"/>
        <v>0</v>
      </c>
    </row>
    <row r="79" spans="1:19" ht="18" customHeight="1">
      <c r="B79" s="96" t="s">
        <v>1035</v>
      </c>
      <c r="C79" s="86" t="s">
        <v>2161</v>
      </c>
      <c r="D79" s="86">
        <v>4</v>
      </c>
      <c r="E79" s="86" t="s">
        <v>1036</v>
      </c>
      <c r="F79" s="86">
        <v>0.25</v>
      </c>
      <c r="G79" s="86" t="s">
        <v>143</v>
      </c>
      <c r="H79" s="86"/>
      <c r="I79" s="86"/>
      <c r="J79" s="86"/>
      <c r="K79" s="86"/>
      <c r="L79" s="86"/>
      <c r="M79" s="86"/>
      <c r="N79" s="88">
        <v>656</v>
      </c>
      <c r="O79" s="10">
        <f t="shared" si="4"/>
        <v>164</v>
      </c>
    </row>
    <row r="80" spans="1:19">
      <c r="O80" s="10">
        <f t="shared" si="4"/>
        <v>0</v>
      </c>
    </row>
    <row r="81" spans="1:15" ht="36" customHeight="1">
      <c r="A81" s="92" t="s">
        <v>1146</v>
      </c>
      <c r="B81" s="96" t="s">
        <v>1045</v>
      </c>
      <c r="C81" s="86" t="s">
        <v>14</v>
      </c>
      <c r="D81" s="86" t="s">
        <v>1046</v>
      </c>
      <c r="E81" s="86" t="s">
        <v>1047</v>
      </c>
      <c r="F81" s="86">
        <v>0.5</v>
      </c>
      <c r="G81" s="86" t="s">
        <v>1048</v>
      </c>
      <c r="H81" s="86"/>
      <c r="I81" s="86"/>
      <c r="J81" s="86"/>
      <c r="K81" s="86"/>
      <c r="L81" s="86"/>
      <c r="M81" s="86"/>
      <c r="N81" s="88">
        <v>100</v>
      </c>
      <c r="O81" s="10">
        <f t="shared" si="4"/>
        <v>50</v>
      </c>
    </row>
    <row r="82" spans="1:15" ht="18" customHeight="1">
      <c r="B82" s="96" t="s">
        <v>1049</v>
      </c>
      <c r="C82" s="86" t="s">
        <v>14</v>
      </c>
      <c r="D82" s="86"/>
      <c r="E82" s="86" t="s">
        <v>1050</v>
      </c>
      <c r="F82" s="86">
        <v>0.5</v>
      </c>
      <c r="G82" s="86" t="s">
        <v>21</v>
      </c>
      <c r="H82" s="86" t="s">
        <v>1051</v>
      </c>
      <c r="I82" s="86"/>
      <c r="J82" s="86"/>
      <c r="K82" s="86"/>
      <c r="L82" s="86"/>
      <c r="M82" s="86"/>
      <c r="N82" s="88">
        <v>23</v>
      </c>
      <c r="O82" s="10">
        <f t="shared" si="4"/>
        <v>11.5</v>
      </c>
    </row>
    <row r="83" spans="1:15" ht="18" customHeight="1">
      <c r="B83" s="96" t="s">
        <v>1052</v>
      </c>
      <c r="C83" s="86" t="s">
        <v>14</v>
      </c>
      <c r="D83" s="86"/>
      <c r="E83" s="86" t="s">
        <v>1053</v>
      </c>
      <c r="F83" s="86">
        <v>0.25</v>
      </c>
      <c r="G83" s="86" t="s">
        <v>1054</v>
      </c>
      <c r="H83" s="86"/>
      <c r="I83" s="86"/>
      <c r="J83" s="86"/>
      <c r="K83" s="86"/>
      <c r="L83" s="86"/>
      <c r="M83" s="86"/>
      <c r="N83" s="88">
        <v>25</v>
      </c>
      <c r="O83" s="10">
        <f t="shared" si="4"/>
        <v>6.25</v>
      </c>
    </row>
    <row r="84" spans="1:15">
      <c r="A84" s="97"/>
      <c r="B84" s="96" t="s">
        <v>463</v>
      </c>
      <c r="C84" s="86" t="s">
        <v>2161</v>
      </c>
      <c r="D84" s="86">
        <v>21</v>
      </c>
      <c r="E84" s="86" t="s">
        <v>2152</v>
      </c>
      <c r="F84" s="86">
        <v>0.5</v>
      </c>
      <c r="G84" s="86" t="s">
        <v>21</v>
      </c>
      <c r="H84" s="86"/>
      <c r="I84" s="86"/>
      <c r="J84" s="86"/>
      <c r="K84" s="86"/>
      <c r="L84" s="88"/>
      <c r="M84" s="88"/>
      <c r="N84" s="89"/>
      <c r="O84" s="10">
        <f t="shared" si="4"/>
        <v>0</v>
      </c>
    </row>
    <row r="85" spans="1:15">
      <c r="A85" s="97"/>
      <c r="B85" s="96" t="s">
        <v>1169</v>
      </c>
      <c r="C85" s="86" t="s">
        <v>2161</v>
      </c>
      <c r="D85" s="86">
        <v>1</v>
      </c>
      <c r="E85" s="86" t="s">
        <v>1170</v>
      </c>
      <c r="F85" s="86">
        <v>0.5</v>
      </c>
      <c r="G85" s="86" t="s">
        <v>21</v>
      </c>
      <c r="H85" s="86"/>
      <c r="I85" s="86"/>
      <c r="J85" s="86"/>
      <c r="K85" s="86"/>
      <c r="L85" s="88"/>
      <c r="M85" s="88"/>
      <c r="N85" s="89"/>
      <c r="O85" s="10">
        <f t="shared" si="4"/>
        <v>0</v>
      </c>
    </row>
    <row r="86" spans="1:15">
      <c r="B86" s="96" t="s">
        <v>1055</v>
      </c>
      <c r="C86" s="86" t="s">
        <v>204</v>
      </c>
      <c r="D86" s="86">
        <v>3</v>
      </c>
      <c r="E86" s="86"/>
      <c r="F86" s="86">
        <v>0.25</v>
      </c>
      <c r="G86" s="86" t="s">
        <v>143</v>
      </c>
      <c r="H86" s="86"/>
      <c r="I86" s="86"/>
      <c r="J86" s="86"/>
      <c r="K86" s="86"/>
      <c r="L86" s="86"/>
      <c r="M86" s="86"/>
      <c r="N86" s="88"/>
      <c r="O86" s="10">
        <f t="shared" si="4"/>
        <v>0</v>
      </c>
    </row>
    <row r="87" spans="1:15">
      <c r="B87" s="96" t="s">
        <v>1056</v>
      </c>
      <c r="C87" s="86" t="s">
        <v>20</v>
      </c>
      <c r="D87" s="86"/>
      <c r="E87" s="86" t="s">
        <v>1057</v>
      </c>
      <c r="F87" s="86">
        <v>0.75</v>
      </c>
      <c r="G87" s="86" t="s">
        <v>21</v>
      </c>
      <c r="H87" s="86"/>
      <c r="I87" s="86"/>
      <c r="J87" s="86"/>
      <c r="K87" s="86"/>
      <c r="L87" s="86"/>
      <c r="M87" s="86"/>
      <c r="N87" s="88">
        <v>71</v>
      </c>
      <c r="O87" s="10">
        <f t="shared" si="4"/>
        <v>53.25</v>
      </c>
    </row>
    <row r="88" spans="1:15">
      <c r="B88" s="96" t="s">
        <v>1058</v>
      </c>
      <c r="C88" s="86"/>
      <c r="D88" s="86"/>
      <c r="E88" s="86" t="s">
        <v>1059</v>
      </c>
      <c r="F88" s="86">
        <v>0.5</v>
      </c>
      <c r="G88" s="86" t="s">
        <v>21</v>
      </c>
      <c r="H88" s="86"/>
      <c r="I88" s="86"/>
      <c r="J88" s="86"/>
      <c r="K88" s="86"/>
      <c r="L88" s="86"/>
      <c r="M88" s="86"/>
      <c r="N88" s="86"/>
      <c r="O88" s="10">
        <f t="shared" si="4"/>
        <v>0</v>
      </c>
    </row>
    <row r="89" spans="1:15">
      <c r="B89" s="96" t="s">
        <v>1060</v>
      </c>
      <c r="C89" s="86"/>
      <c r="D89" s="86" t="s">
        <v>1061</v>
      </c>
      <c r="E89" s="86" t="s">
        <v>1062</v>
      </c>
      <c r="F89" s="86">
        <v>0.25</v>
      </c>
      <c r="G89" s="86" t="s">
        <v>143</v>
      </c>
      <c r="H89" s="86"/>
      <c r="I89" s="86"/>
      <c r="J89" s="86"/>
      <c r="K89" s="86"/>
      <c r="L89" s="86"/>
      <c r="M89" s="86"/>
      <c r="N89" s="88"/>
      <c r="O89" s="10">
        <f t="shared" si="4"/>
        <v>0</v>
      </c>
    </row>
    <row r="90" spans="1:15">
      <c r="B90" s="86" t="s">
        <v>1063</v>
      </c>
      <c r="C90" s="86"/>
      <c r="D90" s="86"/>
      <c r="E90" s="86"/>
      <c r="F90" s="86"/>
      <c r="G90" s="86"/>
      <c r="H90" s="86"/>
      <c r="I90" s="86"/>
      <c r="J90" s="86"/>
      <c r="K90" s="86"/>
      <c r="L90" s="86"/>
      <c r="M90" s="86"/>
      <c r="N90" s="86"/>
      <c r="O90" s="88"/>
    </row>
    <row r="91" spans="1:15">
      <c r="B91" s="96" t="s">
        <v>1064</v>
      </c>
      <c r="C91" s="86"/>
      <c r="D91" s="86"/>
      <c r="E91" s="86" t="s">
        <v>1065</v>
      </c>
      <c r="F91" s="86">
        <v>0.9</v>
      </c>
      <c r="G91" s="86"/>
      <c r="H91" s="86"/>
      <c r="I91" s="86"/>
      <c r="J91" s="86"/>
      <c r="K91" s="86"/>
      <c r="L91" s="86"/>
      <c r="M91" s="86"/>
      <c r="N91" s="86"/>
      <c r="O91" s="10">
        <f t="shared" ref="O91:O134" si="5">F91*N91</f>
        <v>0</v>
      </c>
    </row>
    <row r="92" spans="1:15">
      <c r="B92" s="96" t="s">
        <v>1066</v>
      </c>
      <c r="C92" s="86"/>
      <c r="D92" s="86"/>
      <c r="E92" s="86" t="s">
        <v>1067</v>
      </c>
      <c r="F92" s="86">
        <v>0.25</v>
      </c>
      <c r="G92" s="86" t="s">
        <v>269</v>
      </c>
      <c r="H92" s="86"/>
      <c r="I92" s="86"/>
      <c r="J92" s="86"/>
      <c r="K92" s="86"/>
      <c r="L92" s="86"/>
      <c r="M92" s="86"/>
      <c r="N92" s="86"/>
      <c r="O92" s="10">
        <f t="shared" si="5"/>
        <v>0</v>
      </c>
    </row>
    <row r="93" spans="1:15">
      <c r="B93" s="96" t="s">
        <v>1068</v>
      </c>
      <c r="C93" s="86"/>
      <c r="D93" s="86"/>
      <c r="E93" s="86" t="s">
        <v>1069</v>
      </c>
      <c r="F93" s="86">
        <v>0.25</v>
      </c>
      <c r="G93" s="86" t="s">
        <v>46</v>
      </c>
      <c r="H93" s="86" t="s">
        <v>1070</v>
      </c>
      <c r="I93" s="86" t="s">
        <v>1071</v>
      </c>
      <c r="J93" s="86"/>
      <c r="K93" s="86"/>
      <c r="L93" s="86"/>
      <c r="M93" s="86"/>
      <c r="N93" s="86"/>
      <c r="O93" s="10">
        <f t="shared" si="5"/>
        <v>0</v>
      </c>
    </row>
    <row r="94" spans="1:15">
      <c r="B94" s="96" t="s">
        <v>1072</v>
      </c>
      <c r="C94" s="86"/>
      <c r="D94" s="86"/>
      <c r="E94" s="86" t="s">
        <v>1073</v>
      </c>
      <c r="F94" s="86">
        <v>0.5</v>
      </c>
      <c r="G94" s="86" t="s">
        <v>46</v>
      </c>
      <c r="H94" s="86"/>
      <c r="I94" s="86"/>
      <c r="J94" s="86"/>
      <c r="K94" s="86"/>
      <c r="L94" s="86"/>
      <c r="M94" s="86"/>
      <c r="N94" s="86"/>
      <c r="O94" s="10">
        <f t="shared" si="5"/>
        <v>0</v>
      </c>
    </row>
    <row r="95" spans="1:15" ht="30.75">
      <c r="B95" s="96" t="s">
        <v>1074</v>
      </c>
      <c r="C95" s="86"/>
      <c r="D95" s="86"/>
      <c r="E95" s="86" t="s">
        <v>1075</v>
      </c>
      <c r="F95" s="86">
        <v>1</v>
      </c>
      <c r="G95" s="86" t="s">
        <v>29</v>
      </c>
      <c r="H95" s="86" t="s">
        <v>1076</v>
      </c>
      <c r="I95" s="86"/>
      <c r="J95" s="86"/>
      <c r="K95" s="86"/>
      <c r="L95" s="86"/>
      <c r="M95" s="86"/>
      <c r="N95" s="86"/>
      <c r="O95" s="10">
        <f t="shared" si="5"/>
        <v>0</v>
      </c>
    </row>
    <row r="96" spans="1:15">
      <c r="B96" s="96" t="s">
        <v>1068</v>
      </c>
      <c r="C96" s="86"/>
      <c r="D96" s="86"/>
      <c r="E96" s="86" t="s">
        <v>1077</v>
      </c>
      <c r="F96" s="86">
        <v>0.25</v>
      </c>
      <c r="G96" s="86" t="s">
        <v>269</v>
      </c>
      <c r="H96" s="86" t="s">
        <v>1078</v>
      </c>
      <c r="I96" s="86"/>
      <c r="J96" s="86"/>
      <c r="K96" s="86"/>
      <c r="L96" s="86"/>
      <c r="M96" s="86"/>
      <c r="N96" s="86"/>
      <c r="O96" s="10">
        <f t="shared" si="5"/>
        <v>0</v>
      </c>
    </row>
    <row r="97" spans="2:15">
      <c r="B97" s="96" t="s">
        <v>296</v>
      </c>
      <c r="C97" s="86"/>
      <c r="D97" s="86"/>
      <c r="E97" s="86" t="s">
        <v>1079</v>
      </c>
      <c r="F97" s="86">
        <v>0.5</v>
      </c>
      <c r="G97" s="86" t="s">
        <v>143</v>
      </c>
      <c r="H97" s="86" t="s">
        <v>1080</v>
      </c>
      <c r="I97" s="86" t="s">
        <v>1081</v>
      </c>
      <c r="J97" s="86"/>
      <c r="K97" s="86"/>
      <c r="L97" s="86"/>
      <c r="M97" s="86"/>
      <c r="N97" s="86"/>
      <c r="O97" s="10">
        <f t="shared" si="5"/>
        <v>0</v>
      </c>
    </row>
    <row r="98" spans="2:15" ht="30.75">
      <c r="B98" s="96" t="s">
        <v>1082</v>
      </c>
      <c r="C98" s="86"/>
      <c r="D98" s="86"/>
      <c r="E98" s="86" t="s">
        <v>1083</v>
      </c>
      <c r="F98" s="86">
        <v>0.5</v>
      </c>
      <c r="G98" s="86" t="s">
        <v>21</v>
      </c>
      <c r="H98" s="86"/>
      <c r="I98" s="86"/>
      <c r="J98" s="86"/>
      <c r="K98" s="86"/>
      <c r="L98" s="86"/>
      <c r="M98" s="86"/>
      <c r="N98" s="86"/>
      <c r="O98" s="10">
        <f t="shared" si="5"/>
        <v>0</v>
      </c>
    </row>
    <row r="99" spans="2:15">
      <c r="B99" s="96" t="s">
        <v>575</v>
      </c>
      <c r="C99" s="86"/>
      <c r="D99" s="86"/>
      <c r="E99" s="86" t="s">
        <v>1084</v>
      </c>
      <c r="F99" s="86">
        <v>0.25</v>
      </c>
      <c r="G99" s="86" t="s">
        <v>21</v>
      </c>
      <c r="H99" s="86"/>
      <c r="I99" s="86"/>
      <c r="J99" s="86"/>
      <c r="K99" s="86"/>
      <c r="L99" s="86"/>
      <c r="M99" s="86"/>
      <c r="N99" s="86"/>
      <c r="O99" s="10">
        <f t="shared" si="5"/>
        <v>0</v>
      </c>
    </row>
    <row r="100" spans="2:15">
      <c r="B100" s="96" t="s">
        <v>585</v>
      </c>
      <c r="C100" s="86"/>
      <c r="D100" s="86"/>
      <c r="E100" s="86" t="s">
        <v>1085</v>
      </c>
      <c r="F100" s="86">
        <v>0.5</v>
      </c>
      <c r="G100" s="86" t="s">
        <v>46</v>
      </c>
      <c r="H100" s="86"/>
      <c r="I100" s="86"/>
      <c r="J100" s="86"/>
      <c r="K100" s="86"/>
      <c r="L100" s="86"/>
      <c r="M100" s="86"/>
      <c r="N100" s="86"/>
      <c r="O100" s="10">
        <f t="shared" si="5"/>
        <v>0</v>
      </c>
    </row>
    <row r="101" spans="2:15" ht="30.75">
      <c r="B101" s="96" t="s">
        <v>1086</v>
      </c>
      <c r="C101" s="86"/>
      <c r="D101" s="86"/>
      <c r="E101" s="86" t="s">
        <v>1087</v>
      </c>
      <c r="F101" s="86">
        <v>0.25</v>
      </c>
      <c r="G101" s="86" t="s">
        <v>21</v>
      </c>
      <c r="H101" s="86"/>
      <c r="I101" s="86"/>
      <c r="J101" s="86"/>
      <c r="K101" s="86"/>
      <c r="L101" s="86"/>
      <c r="M101" s="86"/>
      <c r="N101" s="86"/>
      <c r="O101" s="10">
        <f t="shared" si="5"/>
        <v>0</v>
      </c>
    </row>
    <row r="102" spans="2:15">
      <c r="B102" s="96" t="s">
        <v>1088</v>
      </c>
      <c r="C102" s="86"/>
      <c r="D102" s="86"/>
      <c r="E102" s="86" t="s">
        <v>1089</v>
      </c>
      <c r="F102" s="86">
        <v>0.25</v>
      </c>
      <c r="G102" s="86" t="s">
        <v>46</v>
      </c>
      <c r="H102" s="86"/>
      <c r="I102" s="86"/>
      <c r="J102" s="86"/>
      <c r="K102" s="86"/>
      <c r="L102" s="86"/>
      <c r="M102" s="86"/>
      <c r="N102" s="86"/>
      <c r="O102" s="10">
        <f t="shared" si="5"/>
        <v>0</v>
      </c>
    </row>
    <row r="103" spans="2:15">
      <c r="B103" s="96" t="s">
        <v>1090</v>
      </c>
      <c r="C103" s="86"/>
      <c r="D103" s="86"/>
      <c r="E103" s="86" t="s">
        <v>1091</v>
      </c>
      <c r="F103" s="86">
        <v>0.25</v>
      </c>
      <c r="G103" s="86" t="s">
        <v>46</v>
      </c>
      <c r="H103" s="86"/>
      <c r="I103" s="86"/>
      <c r="J103" s="86"/>
      <c r="K103" s="86"/>
      <c r="L103" s="86"/>
      <c r="M103" s="86"/>
      <c r="N103" s="86"/>
      <c r="O103" s="10">
        <f t="shared" si="5"/>
        <v>0</v>
      </c>
    </row>
    <row r="104" spans="2:15">
      <c r="B104" s="96" t="s">
        <v>1092</v>
      </c>
      <c r="C104" s="86"/>
      <c r="D104" s="86"/>
      <c r="E104" s="86" t="s">
        <v>1093</v>
      </c>
      <c r="F104" s="86">
        <v>0.25</v>
      </c>
      <c r="G104" s="86" t="s">
        <v>46</v>
      </c>
      <c r="H104" s="86"/>
      <c r="I104" s="86"/>
      <c r="J104" s="86"/>
      <c r="K104" s="86"/>
      <c r="L104" s="86"/>
      <c r="M104" s="86"/>
      <c r="N104" s="86"/>
      <c r="O104" s="10">
        <f t="shared" si="5"/>
        <v>0</v>
      </c>
    </row>
    <row r="105" spans="2:15">
      <c r="B105" s="96" t="s">
        <v>1094</v>
      </c>
      <c r="C105" s="86"/>
      <c r="D105" s="86"/>
      <c r="E105" s="86" t="s">
        <v>1095</v>
      </c>
      <c r="F105" s="86">
        <v>0.25</v>
      </c>
      <c r="G105" s="86" t="s">
        <v>46</v>
      </c>
      <c r="H105" s="86"/>
      <c r="I105" s="86"/>
      <c r="J105" s="86"/>
      <c r="K105" s="86"/>
      <c r="L105" s="86"/>
      <c r="M105" s="86"/>
      <c r="N105" s="86"/>
      <c r="O105" s="10">
        <f t="shared" si="5"/>
        <v>0</v>
      </c>
    </row>
    <row r="106" spans="2:15" ht="60.75">
      <c r="B106" s="96" t="s">
        <v>591</v>
      </c>
      <c r="C106" s="86"/>
      <c r="D106" s="86"/>
      <c r="E106" s="86" t="s">
        <v>2415</v>
      </c>
      <c r="F106" s="86">
        <v>0.25</v>
      </c>
      <c r="G106" s="86" t="s">
        <v>46</v>
      </c>
      <c r="H106" s="86"/>
      <c r="I106" s="86"/>
      <c r="J106" s="86"/>
      <c r="K106" s="86"/>
      <c r="L106" s="86"/>
      <c r="M106" s="86"/>
      <c r="N106" s="86"/>
      <c r="O106" s="10">
        <f t="shared" si="5"/>
        <v>0</v>
      </c>
    </row>
    <row r="107" spans="2:15">
      <c r="B107" s="96" t="s">
        <v>1096</v>
      </c>
      <c r="C107" s="86"/>
      <c r="D107" s="86"/>
      <c r="E107" s="86" t="s">
        <v>1097</v>
      </c>
      <c r="F107" s="86">
        <v>0.5</v>
      </c>
      <c r="G107" s="86" t="s">
        <v>46</v>
      </c>
      <c r="H107" s="86"/>
      <c r="I107" s="86"/>
      <c r="J107" s="86"/>
      <c r="K107" s="86"/>
      <c r="L107" s="86"/>
      <c r="M107" s="86"/>
      <c r="N107" s="86"/>
      <c r="O107" s="10">
        <f t="shared" si="5"/>
        <v>0</v>
      </c>
    </row>
    <row r="108" spans="2:15">
      <c r="B108" s="96" t="s">
        <v>1098</v>
      </c>
      <c r="C108" s="86"/>
      <c r="D108" s="86"/>
      <c r="E108" s="86" t="s">
        <v>1099</v>
      </c>
      <c r="F108" s="86">
        <v>0.25</v>
      </c>
      <c r="G108" s="86" t="s">
        <v>29</v>
      </c>
      <c r="H108" s="86"/>
      <c r="I108" s="86"/>
      <c r="J108" s="86"/>
      <c r="K108" s="86"/>
      <c r="L108" s="86"/>
      <c r="M108" s="86"/>
      <c r="N108" s="86"/>
      <c r="O108" s="10">
        <f t="shared" si="5"/>
        <v>0</v>
      </c>
    </row>
    <row r="109" spans="2:15">
      <c r="B109" s="96" t="s">
        <v>1100</v>
      </c>
      <c r="C109" s="86"/>
      <c r="D109" s="86"/>
      <c r="E109" s="86" t="s">
        <v>1101</v>
      </c>
      <c r="F109" s="86">
        <v>0.25</v>
      </c>
      <c r="G109" s="86" t="s">
        <v>46</v>
      </c>
      <c r="H109" s="86"/>
      <c r="I109" s="86"/>
      <c r="J109" s="86"/>
      <c r="K109" s="86"/>
      <c r="L109" s="86"/>
      <c r="M109" s="86"/>
      <c r="N109" s="86"/>
      <c r="O109" s="10">
        <f t="shared" si="5"/>
        <v>0</v>
      </c>
    </row>
    <row r="110" spans="2:15">
      <c r="B110" s="96" t="s">
        <v>1102</v>
      </c>
      <c r="C110" s="86"/>
      <c r="D110" s="86"/>
      <c r="E110" s="86" t="s">
        <v>1103</v>
      </c>
      <c r="F110" s="86">
        <v>0.25</v>
      </c>
      <c r="G110" s="86" t="s">
        <v>46</v>
      </c>
      <c r="H110" s="86"/>
      <c r="I110" s="86"/>
      <c r="J110" s="86"/>
      <c r="K110" s="86"/>
      <c r="L110" s="86"/>
      <c r="M110" s="86"/>
      <c r="N110" s="86"/>
      <c r="O110" s="10">
        <f t="shared" si="5"/>
        <v>0</v>
      </c>
    </row>
    <row r="111" spans="2:15">
      <c r="B111" s="96" t="s">
        <v>1104</v>
      </c>
      <c r="C111" s="86"/>
      <c r="D111" s="86"/>
      <c r="E111" s="86" t="s">
        <v>1105</v>
      </c>
      <c r="F111" s="86">
        <v>0.25</v>
      </c>
      <c r="G111" s="86" t="s">
        <v>46</v>
      </c>
      <c r="H111" s="86"/>
      <c r="I111" s="86"/>
      <c r="J111" s="86"/>
      <c r="K111" s="86"/>
      <c r="L111" s="86"/>
      <c r="M111" s="86"/>
      <c r="N111" s="86"/>
      <c r="O111" s="10">
        <f t="shared" si="5"/>
        <v>0</v>
      </c>
    </row>
    <row r="112" spans="2:15">
      <c r="B112" s="96" t="s">
        <v>1106</v>
      </c>
      <c r="C112" s="86"/>
      <c r="D112" s="86"/>
      <c r="E112" s="86" t="s">
        <v>1107</v>
      </c>
      <c r="F112" s="86">
        <v>0.25</v>
      </c>
      <c r="G112" s="86" t="s">
        <v>46</v>
      </c>
      <c r="H112" s="86"/>
      <c r="I112" s="86"/>
      <c r="J112" s="86"/>
      <c r="K112" s="86"/>
      <c r="L112" s="86"/>
      <c r="M112" s="86"/>
      <c r="N112" s="86"/>
      <c r="O112" s="10">
        <f t="shared" si="5"/>
        <v>0</v>
      </c>
    </row>
    <row r="113" spans="2:15">
      <c r="B113" s="96" t="s">
        <v>1096</v>
      </c>
      <c r="C113" s="86"/>
      <c r="D113" s="86"/>
      <c r="E113" s="86" t="s">
        <v>1108</v>
      </c>
      <c r="F113" s="86">
        <v>0.5</v>
      </c>
      <c r="G113" s="86" t="s">
        <v>46</v>
      </c>
      <c r="H113" s="86"/>
      <c r="I113" s="86"/>
      <c r="J113" s="86"/>
      <c r="K113" s="86"/>
      <c r="L113" s="86"/>
      <c r="M113" s="86"/>
      <c r="N113" s="86"/>
      <c r="O113" s="10">
        <f t="shared" si="5"/>
        <v>0</v>
      </c>
    </row>
    <row r="114" spans="2:15">
      <c r="B114" s="96" t="s">
        <v>162</v>
      </c>
      <c r="C114" s="86"/>
      <c r="D114" s="86"/>
      <c r="E114" s="86" t="s">
        <v>1109</v>
      </c>
      <c r="F114" s="86">
        <v>0.25</v>
      </c>
      <c r="G114" s="86" t="s">
        <v>29</v>
      </c>
      <c r="H114" s="86"/>
      <c r="I114" s="86"/>
      <c r="J114" s="86"/>
      <c r="K114" s="86"/>
      <c r="L114" s="86"/>
      <c r="M114" s="86"/>
      <c r="N114" s="86"/>
      <c r="O114" s="10">
        <f t="shared" si="5"/>
        <v>0</v>
      </c>
    </row>
    <row r="115" spans="2:15">
      <c r="B115" s="96" t="s">
        <v>1110</v>
      </c>
      <c r="C115" s="86"/>
      <c r="D115" s="86"/>
      <c r="E115" s="86" t="s">
        <v>1111</v>
      </c>
      <c r="F115" s="86">
        <v>0.25</v>
      </c>
      <c r="G115" s="86" t="s">
        <v>46</v>
      </c>
      <c r="H115" s="86"/>
      <c r="I115" s="86"/>
      <c r="J115" s="86"/>
      <c r="K115" s="86"/>
      <c r="L115" s="86"/>
      <c r="M115" s="86"/>
      <c r="N115" s="86"/>
      <c r="O115" s="10">
        <f t="shared" si="5"/>
        <v>0</v>
      </c>
    </row>
    <row r="116" spans="2:15">
      <c r="B116" s="96" t="s">
        <v>1112</v>
      </c>
      <c r="C116" s="86"/>
      <c r="D116" s="86"/>
      <c r="E116" s="86" t="s">
        <v>1113</v>
      </c>
      <c r="F116" s="86">
        <v>0.25</v>
      </c>
      <c r="G116" s="86" t="s">
        <v>46</v>
      </c>
      <c r="H116" s="86"/>
      <c r="I116" s="86"/>
      <c r="J116" s="86"/>
      <c r="K116" s="86"/>
      <c r="L116" s="86"/>
      <c r="M116" s="86"/>
      <c r="N116" s="86"/>
      <c r="O116" s="10">
        <f t="shared" si="5"/>
        <v>0</v>
      </c>
    </row>
    <row r="117" spans="2:15">
      <c r="B117" s="96" t="s">
        <v>1114</v>
      </c>
      <c r="C117" s="86"/>
      <c r="D117" s="86"/>
      <c r="E117" s="86" t="s">
        <v>1115</v>
      </c>
      <c r="F117" s="86">
        <v>0.25</v>
      </c>
      <c r="G117" s="86" t="s">
        <v>46</v>
      </c>
      <c r="H117" s="86"/>
      <c r="I117" s="86"/>
      <c r="J117" s="86"/>
      <c r="K117" s="86"/>
      <c r="L117" s="86"/>
      <c r="M117" s="86"/>
      <c r="N117" s="86"/>
      <c r="O117" s="10">
        <f t="shared" si="5"/>
        <v>0</v>
      </c>
    </row>
    <row r="118" spans="2:15">
      <c r="B118" s="96" t="s">
        <v>1116</v>
      </c>
      <c r="C118" s="86"/>
      <c r="D118" s="86"/>
      <c r="E118" s="86" t="s">
        <v>1117</v>
      </c>
      <c r="F118" s="86">
        <v>0.25</v>
      </c>
      <c r="G118" s="86" t="s">
        <v>46</v>
      </c>
      <c r="H118" s="86"/>
      <c r="I118" s="86"/>
      <c r="J118" s="86"/>
      <c r="K118" s="86"/>
      <c r="L118" s="86"/>
      <c r="M118" s="86"/>
      <c r="N118" s="86"/>
      <c r="O118" s="10">
        <f t="shared" si="5"/>
        <v>0</v>
      </c>
    </row>
    <row r="119" spans="2:15">
      <c r="B119" s="96" t="s">
        <v>1118</v>
      </c>
      <c r="C119" s="86"/>
      <c r="D119" s="86"/>
      <c r="E119" s="86" t="s">
        <v>1119</v>
      </c>
      <c r="F119" s="86">
        <v>0.25</v>
      </c>
      <c r="G119" s="86" t="s">
        <v>46</v>
      </c>
      <c r="H119" s="86"/>
      <c r="I119" s="86"/>
      <c r="J119" s="86"/>
      <c r="K119" s="86"/>
      <c r="L119" s="86"/>
      <c r="M119" s="86"/>
      <c r="N119" s="86"/>
      <c r="O119" s="10">
        <f t="shared" si="5"/>
        <v>0</v>
      </c>
    </row>
    <row r="120" spans="2:15">
      <c r="B120" s="96" t="s">
        <v>572</v>
      </c>
      <c r="C120" s="86"/>
      <c r="D120" s="86"/>
      <c r="E120" s="86" t="s">
        <v>1120</v>
      </c>
      <c r="F120" s="86">
        <v>0.25</v>
      </c>
      <c r="G120" s="86" t="s">
        <v>46</v>
      </c>
      <c r="H120" s="86"/>
      <c r="I120" s="86"/>
      <c r="J120" s="86"/>
      <c r="K120" s="86"/>
      <c r="L120" s="86"/>
      <c r="M120" s="86"/>
      <c r="N120" s="86"/>
      <c r="O120" s="10">
        <f t="shared" si="5"/>
        <v>0</v>
      </c>
    </row>
    <row r="121" spans="2:15">
      <c r="B121" s="96" t="s">
        <v>1066</v>
      </c>
      <c r="C121" s="86"/>
      <c r="D121" s="86"/>
      <c r="E121" s="86" t="s">
        <v>1121</v>
      </c>
      <c r="F121" s="86">
        <v>0.5</v>
      </c>
      <c r="G121" s="86" t="s">
        <v>46</v>
      </c>
      <c r="H121" s="86"/>
      <c r="I121" s="86"/>
      <c r="J121" s="86"/>
      <c r="K121" s="86"/>
      <c r="L121" s="86"/>
      <c r="M121" s="86"/>
      <c r="N121" s="86"/>
      <c r="O121" s="10">
        <f t="shared" si="5"/>
        <v>0</v>
      </c>
    </row>
    <row r="122" spans="2:15">
      <c r="B122" s="96" t="s">
        <v>1122</v>
      </c>
      <c r="C122" s="86"/>
      <c r="D122" s="86"/>
      <c r="E122" s="86" t="s">
        <v>1123</v>
      </c>
      <c r="F122" s="86">
        <v>0.25</v>
      </c>
      <c r="G122" s="86" t="s">
        <v>29</v>
      </c>
      <c r="H122" s="86"/>
      <c r="I122" s="86"/>
      <c r="J122" s="86"/>
      <c r="K122" s="86"/>
      <c r="L122" s="86"/>
      <c r="M122" s="86"/>
      <c r="N122" s="86"/>
      <c r="O122" s="10">
        <f t="shared" si="5"/>
        <v>0</v>
      </c>
    </row>
    <row r="123" spans="2:15">
      <c r="B123" s="96" t="s">
        <v>1124</v>
      </c>
      <c r="C123" s="86"/>
      <c r="D123" s="86"/>
      <c r="E123" s="86" t="s">
        <v>1125</v>
      </c>
      <c r="F123" s="86">
        <v>0.25</v>
      </c>
      <c r="G123" s="86" t="s">
        <v>46</v>
      </c>
      <c r="H123" s="86"/>
      <c r="I123" s="86"/>
      <c r="J123" s="86"/>
      <c r="K123" s="86"/>
      <c r="L123" s="86"/>
      <c r="M123" s="86"/>
      <c r="N123" s="86"/>
      <c r="O123" s="10">
        <f t="shared" si="5"/>
        <v>0</v>
      </c>
    </row>
    <row r="124" spans="2:15">
      <c r="B124" s="96" t="s">
        <v>1126</v>
      </c>
      <c r="C124" s="86"/>
      <c r="D124" s="86"/>
      <c r="E124" s="86" t="s">
        <v>1127</v>
      </c>
      <c r="F124" s="86">
        <v>0.25</v>
      </c>
      <c r="G124" s="86" t="s">
        <v>46</v>
      </c>
      <c r="H124" s="86"/>
      <c r="I124" s="86"/>
      <c r="J124" s="86"/>
      <c r="K124" s="86"/>
      <c r="L124" s="86"/>
      <c r="M124" s="86"/>
      <c r="N124" s="86"/>
      <c r="O124" s="10">
        <f t="shared" si="5"/>
        <v>0</v>
      </c>
    </row>
    <row r="125" spans="2:15">
      <c r="B125" s="96" t="s">
        <v>1128</v>
      </c>
      <c r="C125" s="86"/>
      <c r="D125" s="86"/>
      <c r="E125" s="86" t="s">
        <v>1129</v>
      </c>
      <c r="F125" s="86">
        <v>0.25</v>
      </c>
      <c r="G125" s="86" t="s">
        <v>46</v>
      </c>
      <c r="H125" s="86"/>
      <c r="I125" s="86"/>
      <c r="J125" s="86"/>
      <c r="K125" s="86"/>
      <c r="L125" s="86"/>
      <c r="M125" s="86"/>
      <c r="N125" s="86"/>
      <c r="O125" s="10">
        <f t="shared" si="5"/>
        <v>0</v>
      </c>
    </row>
    <row r="126" spans="2:15">
      <c r="B126" s="96" t="s">
        <v>1130</v>
      </c>
      <c r="C126" s="86"/>
      <c r="D126" s="86"/>
      <c r="E126" s="86" t="s">
        <v>1131</v>
      </c>
      <c r="F126" s="86">
        <v>0.25</v>
      </c>
      <c r="G126" s="86" t="s">
        <v>46</v>
      </c>
      <c r="H126" s="86"/>
      <c r="I126" s="86"/>
      <c r="J126" s="86"/>
      <c r="K126" s="86"/>
      <c r="L126" s="86"/>
      <c r="M126" s="86"/>
      <c r="N126" s="86"/>
      <c r="O126" s="10">
        <f t="shared" si="5"/>
        <v>0</v>
      </c>
    </row>
    <row r="127" spans="2:15">
      <c r="B127" s="96" t="s">
        <v>1132</v>
      </c>
      <c r="C127" s="86"/>
      <c r="D127" s="86"/>
      <c r="E127" s="86" t="s">
        <v>1133</v>
      </c>
      <c r="F127" s="86">
        <v>0.25</v>
      </c>
      <c r="G127" s="86" t="s">
        <v>46</v>
      </c>
      <c r="H127" s="86"/>
      <c r="I127" s="86"/>
      <c r="J127" s="86"/>
      <c r="K127" s="86"/>
      <c r="L127" s="86"/>
      <c r="M127" s="86"/>
      <c r="N127" s="86"/>
      <c r="O127" s="10">
        <f t="shared" si="5"/>
        <v>0</v>
      </c>
    </row>
    <row r="128" spans="2:15">
      <c r="B128" s="96" t="s">
        <v>575</v>
      </c>
      <c r="C128" s="86"/>
      <c r="D128" s="86"/>
      <c r="E128" s="86" t="s">
        <v>1134</v>
      </c>
      <c r="F128" s="86">
        <v>0.25</v>
      </c>
      <c r="G128" s="86" t="s">
        <v>46</v>
      </c>
      <c r="H128" s="86"/>
      <c r="I128" s="86"/>
      <c r="J128" s="86"/>
      <c r="K128" s="86"/>
      <c r="L128" s="86"/>
      <c r="M128" s="86"/>
      <c r="N128" s="86"/>
      <c r="O128" s="10">
        <f t="shared" si="5"/>
        <v>0</v>
      </c>
    </row>
    <row r="129" spans="1:15">
      <c r="B129" s="96" t="s">
        <v>1135</v>
      </c>
      <c r="C129" s="86"/>
      <c r="D129" s="86"/>
      <c r="E129" s="86" t="s">
        <v>1136</v>
      </c>
      <c r="F129" s="86">
        <v>0.25</v>
      </c>
      <c r="G129" s="86" t="s">
        <v>46</v>
      </c>
      <c r="H129" s="86"/>
      <c r="I129" s="86"/>
      <c r="J129" s="86"/>
      <c r="K129" s="86"/>
      <c r="L129" s="86"/>
      <c r="M129" s="86"/>
      <c r="N129" s="86"/>
      <c r="O129" s="10">
        <f t="shared" si="5"/>
        <v>0</v>
      </c>
    </row>
    <row r="130" spans="1:15">
      <c r="B130" s="96" t="s">
        <v>1055</v>
      </c>
      <c r="C130" s="86"/>
      <c r="D130" s="86"/>
      <c r="E130" s="86" t="s">
        <v>1137</v>
      </c>
      <c r="F130" s="86">
        <v>0.25</v>
      </c>
      <c r="G130" s="86" t="s">
        <v>46</v>
      </c>
      <c r="H130" s="86"/>
      <c r="I130" s="86"/>
      <c r="J130" s="86"/>
      <c r="K130" s="86"/>
      <c r="L130" s="86"/>
      <c r="M130" s="86"/>
      <c r="N130" s="86"/>
      <c r="O130" s="10">
        <f t="shared" si="5"/>
        <v>0</v>
      </c>
    </row>
    <row r="131" spans="1:15">
      <c r="B131" s="96" t="s">
        <v>1138</v>
      </c>
      <c r="C131" s="86"/>
      <c r="D131" s="86"/>
      <c r="E131" s="86" t="s">
        <v>1139</v>
      </c>
      <c r="F131" s="86">
        <v>0.25</v>
      </c>
      <c r="G131" s="86" t="s">
        <v>46</v>
      </c>
      <c r="H131" s="86"/>
      <c r="I131" s="86"/>
      <c r="J131" s="86"/>
      <c r="K131" s="86"/>
      <c r="L131" s="86"/>
      <c r="M131" s="86"/>
      <c r="N131" s="86"/>
      <c r="O131" s="10">
        <f t="shared" si="5"/>
        <v>0</v>
      </c>
    </row>
    <row r="132" spans="1:15">
      <c r="B132" s="96" t="s">
        <v>1140</v>
      </c>
      <c r="C132" s="86"/>
      <c r="D132" s="86"/>
      <c r="E132" s="86" t="s">
        <v>1141</v>
      </c>
      <c r="F132" s="86">
        <v>0.25</v>
      </c>
      <c r="G132" s="86" t="s">
        <v>46</v>
      </c>
      <c r="H132" s="86"/>
      <c r="I132" s="86"/>
      <c r="J132" s="86"/>
      <c r="K132" s="86"/>
      <c r="L132" s="86"/>
      <c r="M132" s="86"/>
      <c r="N132" s="86"/>
      <c r="O132" s="10">
        <f t="shared" si="5"/>
        <v>0</v>
      </c>
    </row>
    <row r="133" spans="1:15">
      <c r="B133" s="96" t="s">
        <v>1142</v>
      </c>
      <c r="C133" s="86"/>
      <c r="D133" s="86"/>
      <c r="E133" s="86" t="s">
        <v>1143</v>
      </c>
      <c r="F133" s="86">
        <v>0.25</v>
      </c>
      <c r="G133" s="86" t="s">
        <v>46</v>
      </c>
      <c r="H133" s="86"/>
      <c r="I133" s="86"/>
      <c r="J133" s="86"/>
      <c r="K133" s="86"/>
      <c r="L133" s="86"/>
      <c r="M133" s="86"/>
      <c r="N133" s="86"/>
      <c r="O133" s="10">
        <f t="shared" si="5"/>
        <v>0</v>
      </c>
    </row>
    <row r="134" spans="1:15">
      <c r="B134" s="96" t="s">
        <v>1144</v>
      </c>
      <c r="C134" s="86"/>
      <c r="D134" s="86"/>
      <c r="E134" s="86" t="s">
        <v>1145</v>
      </c>
      <c r="F134" s="86">
        <v>0.25</v>
      </c>
      <c r="G134" s="86" t="s">
        <v>46</v>
      </c>
      <c r="H134" s="86"/>
      <c r="I134" s="86"/>
      <c r="J134" s="86"/>
      <c r="K134" s="86"/>
      <c r="L134" s="86"/>
      <c r="M134" s="86"/>
      <c r="N134" s="86"/>
      <c r="O134" s="10">
        <f t="shared" si="5"/>
        <v>0</v>
      </c>
    </row>
    <row r="135" spans="1:15">
      <c r="G135" s="110" t="s">
        <v>46</v>
      </c>
    </row>
    <row r="136" spans="1:15">
      <c r="A136" s="97" t="s">
        <v>1183</v>
      </c>
      <c r="B136" s="96" t="s">
        <v>1207</v>
      </c>
      <c r="C136" s="86" t="s">
        <v>2161</v>
      </c>
      <c r="D136" s="86">
        <v>3</v>
      </c>
      <c r="E136" s="86" t="s">
        <v>2420</v>
      </c>
      <c r="F136" s="86">
        <v>0.5</v>
      </c>
      <c r="G136" s="86" t="s">
        <v>21</v>
      </c>
      <c r="H136" s="86"/>
      <c r="I136" s="86"/>
      <c r="J136" s="86"/>
      <c r="K136" s="86"/>
      <c r="L136" s="86"/>
      <c r="M136" s="88"/>
      <c r="N136" s="89"/>
      <c r="O136" s="10">
        <f t="shared" ref="O136:O157" si="6">F136*N136</f>
        <v>0</v>
      </c>
    </row>
    <row r="137" spans="1:15" s="7" customFormat="1">
      <c r="A137" s="18"/>
      <c r="B137" s="126" t="s">
        <v>1203</v>
      </c>
      <c r="C137" s="2" t="s">
        <v>2161</v>
      </c>
      <c r="D137" s="2">
        <v>1</v>
      </c>
      <c r="E137" s="2" t="s">
        <v>1204</v>
      </c>
      <c r="F137" s="2">
        <v>0.25</v>
      </c>
      <c r="G137" s="2" t="s">
        <v>143</v>
      </c>
      <c r="H137" s="2"/>
      <c r="I137" s="2"/>
      <c r="J137" s="2"/>
      <c r="K137" s="2"/>
      <c r="L137" s="2"/>
      <c r="M137" s="19"/>
      <c r="N137" s="10">
        <f>F137*M137</f>
        <v>0</v>
      </c>
      <c r="O137" s="10">
        <f t="shared" si="6"/>
        <v>0</v>
      </c>
    </row>
    <row r="138" spans="1:15" ht="30.75">
      <c r="A138" s="97"/>
      <c r="B138" s="96" t="s">
        <v>2125</v>
      </c>
      <c r="C138" s="86" t="s">
        <v>2161</v>
      </c>
      <c r="D138" s="86">
        <v>8</v>
      </c>
      <c r="E138" s="86" t="s">
        <v>2454</v>
      </c>
      <c r="F138" s="86">
        <v>0.25</v>
      </c>
      <c r="G138" s="86" t="s">
        <v>143</v>
      </c>
      <c r="H138" s="86"/>
      <c r="I138" s="86"/>
      <c r="J138" s="86"/>
      <c r="K138" s="86"/>
      <c r="L138" s="89"/>
      <c r="M138" s="89"/>
      <c r="N138" s="88">
        <f>6*31</f>
        <v>186</v>
      </c>
      <c r="O138" s="10">
        <f t="shared" si="6"/>
        <v>46.5</v>
      </c>
    </row>
    <row r="139" spans="1:15">
      <c r="B139" s="96" t="s">
        <v>2201</v>
      </c>
      <c r="C139" s="98"/>
      <c r="D139" s="89"/>
      <c r="E139" s="86" t="s">
        <v>1230</v>
      </c>
      <c r="F139" s="86"/>
      <c r="G139" s="86"/>
      <c r="H139" s="86"/>
      <c r="I139" s="86"/>
      <c r="J139" s="86"/>
      <c r="K139" s="86"/>
      <c r="L139" s="86"/>
      <c r="M139" s="86"/>
      <c r="N139" s="86"/>
      <c r="O139" s="10">
        <f t="shared" si="6"/>
        <v>0</v>
      </c>
    </row>
    <row r="140" spans="1:15">
      <c r="B140" s="96" t="s">
        <v>2201</v>
      </c>
      <c r="C140" s="86"/>
      <c r="D140" s="89"/>
      <c r="E140" s="86" t="s">
        <v>1231</v>
      </c>
      <c r="F140" s="86"/>
      <c r="G140" s="86"/>
      <c r="H140" s="86"/>
      <c r="I140" s="86"/>
      <c r="J140" s="86"/>
      <c r="K140" s="86"/>
      <c r="L140" s="86"/>
      <c r="M140" s="86"/>
      <c r="N140" s="86"/>
      <c r="O140" s="10">
        <f t="shared" si="6"/>
        <v>0</v>
      </c>
    </row>
    <row r="141" spans="1:15">
      <c r="B141" s="96" t="s">
        <v>2201</v>
      </c>
      <c r="C141" s="86"/>
      <c r="D141" s="89"/>
      <c r="E141" s="86" t="s">
        <v>1232</v>
      </c>
      <c r="F141" s="86"/>
      <c r="G141" s="86"/>
      <c r="H141" s="86"/>
      <c r="I141" s="86"/>
      <c r="J141" s="86"/>
      <c r="K141" s="86"/>
      <c r="L141" s="86"/>
      <c r="M141" s="86"/>
      <c r="N141" s="86"/>
      <c r="O141" s="10">
        <f t="shared" si="6"/>
        <v>0</v>
      </c>
    </row>
    <row r="142" spans="1:15">
      <c r="B142" s="96" t="s">
        <v>2201</v>
      </c>
      <c r="C142" s="86"/>
      <c r="D142" s="89"/>
      <c r="E142" s="86" t="s">
        <v>1233</v>
      </c>
      <c r="F142" s="86"/>
      <c r="G142" s="86"/>
      <c r="H142" s="86"/>
      <c r="I142" s="86"/>
      <c r="J142" s="86"/>
      <c r="K142" s="86"/>
      <c r="L142" s="86"/>
      <c r="M142" s="86"/>
      <c r="N142" s="86"/>
      <c r="O142" s="10">
        <f t="shared" si="6"/>
        <v>0</v>
      </c>
    </row>
    <row r="143" spans="1:15">
      <c r="B143" s="96" t="s">
        <v>2201</v>
      </c>
      <c r="C143" s="86"/>
      <c r="D143" s="89"/>
      <c r="E143" s="86" t="s">
        <v>1234</v>
      </c>
      <c r="F143" s="86">
        <v>0.75</v>
      </c>
      <c r="G143" s="86" t="s">
        <v>17</v>
      </c>
      <c r="H143" s="86"/>
      <c r="I143" s="86"/>
      <c r="J143" s="86"/>
      <c r="K143" s="86"/>
      <c r="L143" s="86"/>
      <c r="M143" s="86"/>
      <c r="N143" s="86"/>
      <c r="O143" s="10">
        <f t="shared" si="6"/>
        <v>0</v>
      </c>
    </row>
    <row r="144" spans="1:15">
      <c r="B144" s="96" t="s">
        <v>2201</v>
      </c>
      <c r="C144" s="86"/>
      <c r="D144" s="89"/>
      <c r="E144" s="86" t="s">
        <v>1235</v>
      </c>
      <c r="F144" s="86">
        <v>0.75</v>
      </c>
      <c r="G144" s="86" t="s">
        <v>17</v>
      </c>
      <c r="H144" s="86"/>
      <c r="I144" s="86"/>
      <c r="J144" s="86"/>
      <c r="K144" s="86"/>
      <c r="L144" s="86"/>
      <c r="M144" s="86"/>
      <c r="N144" s="86"/>
      <c r="O144" s="10">
        <f t="shared" si="6"/>
        <v>0</v>
      </c>
    </row>
    <row r="145" spans="1:15">
      <c r="B145" s="96" t="s">
        <v>2201</v>
      </c>
      <c r="C145" s="86"/>
      <c r="D145" s="89"/>
      <c r="E145" s="86" t="s">
        <v>1236</v>
      </c>
      <c r="F145" s="86">
        <v>0.75</v>
      </c>
      <c r="G145" s="86" t="s">
        <v>17</v>
      </c>
      <c r="H145" s="86"/>
      <c r="I145" s="86"/>
      <c r="J145" s="86"/>
      <c r="K145" s="86"/>
      <c r="L145" s="86"/>
      <c r="M145" s="86"/>
      <c r="N145" s="86"/>
      <c r="O145" s="10">
        <f t="shared" si="6"/>
        <v>0</v>
      </c>
    </row>
    <row r="146" spans="1:15">
      <c r="B146" s="96" t="s">
        <v>2201</v>
      </c>
      <c r="C146" s="86"/>
      <c r="D146" s="89"/>
      <c r="E146" s="86" t="s">
        <v>1237</v>
      </c>
      <c r="F146" s="86">
        <v>0.75</v>
      </c>
      <c r="G146" s="86" t="s">
        <v>17</v>
      </c>
      <c r="H146" s="86"/>
      <c r="I146" s="86"/>
      <c r="J146" s="86"/>
      <c r="K146" s="86"/>
      <c r="L146" s="86"/>
      <c r="M146" s="86"/>
      <c r="N146" s="86"/>
      <c r="O146" s="10">
        <f t="shared" si="6"/>
        <v>0</v>
      </c>
    </row>
    <row r="147" spans="1:15">
      <c r="B147" s="96" t="s">
        <v>2201</v>
      </c>
      <c r="C147" s="86"/>
      <c r="D147" s="89"/>
      <c r="E147" s="86" t="s">
        <v>1238</v>
      </c>
      <c r="F147" s="86">
        <v>0.75</v>
      </c>
      <c r="G147" s="86" t="s">
        <v>17</v>
      </c>
      <c r="H147" s="86"/>
      <c r="I147" s="86"/>
      <c r="J147" s="86"/>
      <c r="K147" s="86"/>
      <c r="L147" s="86"/>
      <c r="M147" s="86"/>
      <c r="N147" s="86"/>
      <c r="O147" s="10">
        <f t="shared" si="6"/>
        <v>0</v>
      </c>
    </row>
    <row r="148" spans="1:15">
      <c r="B148" s="96" t="s">
        <v>2201</v>
      </c>
      <c r="C148" s="86"/>
      <c r="D148" s="89"/>
      <c r="E148" s="86" t="s">
        <v>1239</v>
      </c>
      <c r="F148" s="86">
        <v>0.75</v>
      </c>
      <c r="G148" s="86" t="s">
        <v>17</v>
      </c>
      <c r="H148" s="86"/>
      <c r="I148" s="86"/>
      <c r="J148" s="86"/>
      <c r="K148" s="86"/>
      <c r="L148" s="86"/>
      <c r="M148" s="86"/>
      <c r="N148" s="86"/>
      <c r="O148" s="10">
        <f t="shared" si="6"/>
        <v>0</v>
      </c>
    </row>
    <row r="149" spans="1:15">
      <c r="B149" s="96" t="s">
        <v>2201</v>
      </c>
      <c r="C149" s="86"/>
      <c r="D149" s="89"/>
      <c r="E149" s="86" t="s">
        <v>1240</v>
      </c>
      <c r="F149" s="86">
        <v>0.75</v>
      </c>
      <c r="G149" s="86" t="s">
        <v>17</v>
      </c>
      <c r="H149" s="86"/>
      <c r="I149" s="86"/>
      <c r="J149" s="86"/>
      <c r="K149" s="86"/>
      <c r="L149" s="86"/>
      <c r="M149" s="86"/>
      <c r="N149" s="86"/>
      <c r="O149" s="10">
        <f t="shared" si="6"/>
        <v>0</v>
      </c>
    </row>
    <row r="150" spans="1:15">
      <c r="B150" s="96" t="s">
        <v>2201</v>
      </c>
      <c r="C150" s="86"/>
      <c r="D150" s="89"/>
      <c r="E150" s="86" t="s">
        <v>1241</v>
      </c>
      <c r="F150" s="86">
        <v>0.75</v>
      </c>
      <c r="G150" s="86" t="s">
        <v>17</v>
      </c>
      <c r="H150" s="86"/>
      <c r="I150" s="86"/>
      <c r="J150" s="86"/>
      <c r="K150" s="86"/>
      <c r="L150" s="86"/>
      <c r="M150" s="86"/>
      <c r="N150" s="86"/>
      <c r="O150" s="10">
        <f t="shared" si="6"/>
        <v>0</v>
      </c>
    </row>
    <row r="151" spans="1:15">
      <c r="B151" s="96" t="s">
        <v>2201</v>
      </c>
      <c r="C151" s="86"/>
      <c r="D151" s="89"/>
      <c r="E151" s="86" t="s">
        <v>1242</v>
      </c>
      <c r="F151" s="86">
        <v>0.75</v>
      </c>
      <c r="G151" s="86" t="s">
        <v>17</v>
      </c>
      <c r="H151" s="86"/>
      <c r="I151" s="86"/>
      <c r="J151" s="86"/>
      <c r="K151" s="86"/>
      <c r="L151" s="86"/>
      <c r="M151" s="86"/>
      <c r="N151" s="86"/>
      <c r="O151" s="10">
        <f t="shared" si="6"/>
        <v>0</v>
      </c>
    </row>
    <row r="152" spans="1:15">
      <c r="B152" s="96" t="s">
        <v>2201</v>
      </c>
      <c r="C152" s="86"/>
      <c r="D152" s="89"/>
      <c r="E152" s="86" t="s">
        <v>1243</v>
      </c>
      <c r="F152" s="86">
        <v>0.75</v>
      </c>
      <c r="G152" s="86" t="s">
        <v>17</v>
      </c>
      <c r="H152" s="86"/>
      <c r="I152" s="86"/>
      <c r="J152" s="86"/>
      <c r="K152" s="86"/>
      <c r="L152" s="86"/>
      <c r="M152" s="86"/>
      <c r="N152" s="86"/>
      <c r="O152" s="10">
        <f t="shared" si="6"/>
        <v>0</v>
      </c>
    </row>
    <row r="153" spans="1:15">
      <c r="B153" s="96" t="s">
        <v>2201</v>
      </c>
      <c r="C153" s="86"/>
      <c r="D153" s="89"/>
      <c r="E153" s="86" t="s">
        <v>1244</v>
      </c>
      <c r="F153" s="86">
        <v>0.75</v>
      </c>
      <c r="G153" s="86" t="s">
        <v>17</v>
      </c>
      <c r="H153" s="86"/>
      <c r="I153" s="86"/>
      <c r="J153" s="86"/>
      <c r="K153" s="86"/>
      <c r="L153" s="86"/>
      <c r="M153" s="86"/>
      <c r="N153" s="86"/>
      <c r="O153" s="10">
        <f t="shared" si="6"/>
        <v>0</v>
      </c>
    </row>
    <row r="154" spans="1:15">
      <c r="B154" s="96" t="s">
        <v>2201</v>
      </c>
      <c r="C154" s="86"/>
      <c r="D154" s="89"/>
      <c r="E154" s="86" t="s">
        <v>1245</v>
      </c>
      <c r="F154" s="86">
        <v>0.75</v>
      </c>
      <c r="G154" s="86" t="s">
        <v>17</v>
      </c>
      <c r="H154" s="86"/>
      <c r="I154" s="86"/>
      <c r="J154" s="86"/>
      <c r="K154" s="86"/>
      <c r="L154" s="86"/>
      <c r="M154" s="86"/>
      <c r="N154" s="86"/>
      <c r="O154" s="10">
        <f t="shared" si="6"/>
        <v>0</v>
      </c>
    </row>
    <row r="155" spans="1:15">
      <c r="B155" s="96" t="s">
        <v>2201</v>
      </c>
      <c r="C155" s="86"/>
      <c r="D155" s="89"/>
      <c r="E155" s="86" t="s">
        <v>1246</v>
      </c>
      <c r="F155" s="86">
        <v>0.75</v>
      </c>
      <c r="G155" s="86" t="s">
        <v>17</v>
      </c>
      <c r="H155" s="86"/>
      <c r="I155" s="86"/>
      <c r="J155" s="86"/>
      <c r="K155" s="86"/>
      <c r="L155" s="86"/>
      <c r="M155" s="86"/>
      <c r="N155" s="86"/>
      <c r="O155" s="10">
        <f t="shared" si="6"/>
        <v>0</v>
      </c>
    </row>
    <row r="156" spans="1:15">
      <c r="B156" s="96" t="s">
        <v>2201</v>
      </c>
      <c r="C156" s="86"/>
      <c r="D156" s="89"/>
      <c r="E156" s="86" t="s">
        <v>1247</v>
      </c>
      <c r="F156" s="86">
        <v>0.75</v>
      </c>
      <c r="G156" s="86" t="s">
        <v>17</v>
      </c>
      <c r="H156" s="86"/>
      <c r="I156" s="86"/>
      <c r="J156" s="86"/>
      <c r="K156" s="86"/>
      <c r="L156" s="86"/>
      <c r="M156" s="86"/>
      <c r="N156" s="86"/>
      <c r="O156" s="10">
        <f t="shared" si="6"/>
        <v>0</v>
      </c>
    </row>
    <row r="157" spans="1:15">
      <c r="B157" s="96" t="s">
        <v>2201</v>
      </c>
      <c r="C157" s="86"/>
      <c r="D157" s="89"/>
      <c r="E157" s="86" t="s">
        <v>2164</v>
      </c>
      <c r="F157" s="89"/>
      <c r="G157" s="86"/>
      <c r="H157" s="89"/>
      <c r="I157" s="89"/>
      <c r="J157" s="89"/>
      <c r="K157" s="89"/>
      <c r="L157" s="89"/>
      <c r="M157" s="89"/>
      <c r="N157" s="89"/>
      <c r="O157" s="10">
        <f t="shared" si="6"/>
        <v>0</v>
      </c>
    </row>
    <row r="159" spans="1:15" ht="39" customHeight="1">
      <c r="A159" s="97" t="s">
        <v>1312</v>
      </c>
      <c r="B159" s="96" t="s">
        <v>1248</v>
      </c>
      <c r="C159" s="86" t="s">
        <v>95</v>
      </c>
      <c r="D159" s="86"/>
      <c r="E159" s="86" t="s">
        <v>1249</v>
      </c>
      <c r="F159" s="86">
        <v>0.25</v>
      </c>
      <c r="G159" s="86" t="s">
        <v>143</v>
      </c>
      <c r="H159" s="86" t="s">
        <v>1250</v>
      </c>
      <c r="I159" s="86" t="s">
        <v>1251</v>
      </c>
      <c r="J159" s="86"/>
      <c r="K159" s="86"/>
      <c r="L159" s="86"/>
      <c r="M159" s="86"/>
      <c r="N159" s="88">
        <v>1300</v>
      </c>
      <c r="O159" s="10">
        <f t="shared" ref="O159:O180" si="7">F159*N159</f>
        <v>325</v>
      </c>
    </row>
    <row r="160" spans="1:15" ht="18" customHeight="1">
      <c r="B160" s="96" t="s">
        <v>1252</v>
      </c>
      <c r="C160" s="86" t="s">
        <v>95</v>
      </c>
      <c r="D160" s="86" t="s">
        <v>1253</v>
      </c>
      <c r="E160" s="86" t="s">
        <v>1254</v>
      </c>
      <c r="F160" s="86"/>
      <c r="G160" s="86" t="s">
        <v>1255</v>
      </c>
      <c r="H160" s="86"/>
      <c r="I160" s="86"/>
      <c r="J160" s="86"/>
      <c r="K160" s="86"/>
      <c r="L160" s="86"/>
      <c r="M160" s="86"/>
      <c r="N160" s="88"/>
      <c r="O160" s="10">
        <f t="shared" si="7"/>
        <v>0</v>
      </c>
    </row>
    <row r="161" spans="2:15" ht="18" customHeight="1">
      <c r="B161" s="96" t="s">
        <v>1256</v>
      </c>
      <c r="C161" s="86" t="s">
        <v>95</v>
      </c>
      <c r="D161" s="86" t="s">
        <v>1253</v>
      </c>
      <c r="E161" s="86" t="s">
        <v>1257</v>
      </c>
      <c r="F161" s="86"/>
      <c r="G161" s="86" t="s">
        <v>1258</v>
      </c>
      <c r="H161" s="86"/>
      <c r="I161" s="86"/>
      <c r="J161" s="86"/>
      <c r="K161" s="86"/>
      <c r="L161" s="86"/>
      <c r="M161" s="86"/>
      <c r="N161" s="88"/>
      <c r="O161" s="10">
        <f t="shared" si="7"/>
        <v>0</v>
      </c>
    </row>
    <row r="162" spans="2:15">
      <c r="B162" s="96" t="s">
        <v>1259</v>
      </c>
      <c r="C162" s="86"/>
      <c r="D162" s="86">
        <v>3</v>
      </c>
      <c r="E162" s="86">
        <v>29.12</v>
      </c>
      <c r="F162" s="93">
        <v>0.25</v>
      </c>
      <c r="G162" s="86" t="s">
        <v>143</v>
      </c>
      <c r="H162" s="93"/>
      <c r="I162" s="93"/>
      <c r="J162" s="93"/>
      <c r="K162" s="93"/>
      <c r="L162" s="93"/>
      <c r="M162" s="93"/>
      <c r="N162" s="93"/>
      <c r="O162" s="10">
        <f t="shared" si="7"/>
        <v>0</v>
      </c>
    </row>
    <row r="163" spans="2:15">
      <c r="B163" s="96" t="s">
        <v>1260</v>
      </c>
      <c r="C163" s="86"/>
      <c r="D163" s="86"/>
      <c r="E163" s="86" t="s">
        <v>1261</v>
      </c>
      <c r="F163" s="93">
        <v>0.25</v>
      </c>
      <c r="G163" s="86" t="s">
        <v>143</v>
      </c>
      <c r="H163" s="93"/>
      <c r="I163" s="93"/>
      <c r="J163" s="93"/>
      <c r="K163" s="93"/>
      <c r="L163" s="93"/>
      <c r="M163" s="93"/>
      <c r="N163" s="93"/>
      <c r="O163" s="10">
        <f t="shared" si="7"/>
        <v>0</v>
      </c>
    </row>
    <row r="164" spans="2:15">
      <c r="B164" s="96" t="s">
        <v>1262</v>
      </c>
      <c r="C164" s="86"/>
      <c r="D164" s="86"/>
      <c r="E164" s="86" t="s">
        <v>1263</v>
      </c>
      <c r="F164" s="93">
        <v>0.75</v>
      </c>
      <c r="G164" s="86" t="s">
        <v>17</v>
      </c>
      <c r="H164" s="93"/>
      <c r="I164" s="93"/>
      <c r="J164" s="93"/>
      <c r="K164" s="93"/>
      <c r="L164" s="93"/>
      <c r="M164" s="93"/>
      <c r="N164" s="93"/>
      <c r="O164" s="10">
        <f t="shared" si="7"/>
        <v>0</v>
      </c>
    </row>
    <row r="165" spans="2:15">
      <c r="B165" s="96" t="s">
        <v>1264</v>
      </c>
      <c r="C165" s="86"/>
      <c r="D165" s="86"/>
      <c r="E165" s="86" t="s">
        <v>1265</v>
      </c>
      <c r="F165" s="93">
        <v>0.25</v>
      </c>
      <c r="G165" s="86" t="s">
        <v>143</v>
      </c>
      <c r="H165" s="93"/>
      <c r="I165" s="93"/>
      <c r="J165" s="93"/>
      <c r="K165" s="93"/>
      <c r="L165" s="93"/>
      <c r="M165" s="93"/>
      <c r="N165" s="93"/>
      <c r="O165" s="10">
        <f t="shared" si="7"/>
        <v>0</v>
      </c>
    </row>
    <row r="166" spans="2:15">
      <c r="B166" s="96" t="s">
        <v>1266</v>
      </c>
      <c r="C166" s="86"/>
      <c r="D166" s="86"/>
      <c r="E166" s="86" t="s">
        <v>1267</v>
      </c>
      <c r="F166" s="93">
        <v>0.5</v>
      </c>
      <c r="G166" s="86" t="s">
        <v>21</v>
      </c>
      <c r="H166" s="93"/>
      <c r="I166" s="93"/>
      <c r="J166" s="93"/>
      <c r="K166" s="93"/>
      <c r="L166" s="93"/>
      <c r="M166" s="93"/>
      <c r="N166" s="93"/>
      <c r="O166" s="10">
        <f t="shared" si="7"/>
        <v>0</v>
      </c>
    </row>
    <row r="167" spans="2:15">
      <c r="B167" s="96" t="s">
        <v>1268</v>
      </c>
      <c r="C167" s="86"/>
      <c r="D167" s="86"/>
      <c r="E167" s="86" t="s">
        <v>1269</v>
      </c>
      <c r="F167" s="93">
        <v>0.5</v>
      </c>
      <c r="G167" s="86" t="s">
        <v>21</v>
      </c>
      <c r="H167" s="93"/>
      <c r="I167" s="93"/>
      <c r="J167" s="93"/>
      <c r="K167" s="93"/>
      <c r="L167" s="93"/>
      <c r="M167" s="93"/>
      <c r="N167" s="93"/>
      <c r="O167" s="10">
        <f t="shared" si="7"/>
        <v>0</v>
      </c>
    </row>
    <row r="168" spans="2:15">
      <c r="B168" s="96" t="s">
        <v>1270</v>
      </c>
      <c r="C168" s="86"/>
      <c r="D168" s="86"/>
      <c r="E168" s="86" t="s">
        <v>1271</v>
      </c>
      <c r="F168" s="93">
        <v>0.5</v>
      </c>
      <c r="G168" s="86" t="s">
        <v>21</v>
      </c>
      <c r="H168" s="93"/>
      <c r="I168" s="93"/>
      <c r="J168" s="93"/>
      <c r="K168" s="93"/>
      <c r="L168" s="93"/>
      <c r="M168" s="93"/>
      <c r="N168" s="93"/>
      <c r="O168" s="10">
        <f t="shared" si="7"/>
        <v>0</v>
      </c>
    </row>
    <row r="169" spans="2:15">
      <c r="B169" s="96" t="s">
        <v>784</v>
      </c>
      <c r="C169" s="86"/>
      <c r="D169" s="86"/>
      <c r="E169" s="86" t="s">
        <v>1272</v>
      </c>
      <c r="F169" s="93">
        <v>0.5</v>
      </c>
      <c r="G169" s="86" t="s">
        <v>21</v>
      </c>
      <c r="H169" s="93"/>
      <c r="I169" s="93"/>
      <c r="J169" s="93"/>
      <c r="K169" s="93"/>
      <c r="L169" s="93"/>
      <c r="M169" s="93"/>
      <c r="N169" s="93"/>
      <c r="O169" s="10">
        <f t="shared" si="7"/>
        <v>0</v>
      </c>
    </row>
    <row r="170" spans="2:15" ht="30.75">
      <c r="B170" s="96" t="s">
        <v>1273</v>
      </c>
      <c r="C170" s="86"/>
      <c r="D170" s="86"/>
      <c r="E170" s="86" t="s">
        <v>1274</v>
      </c>
      <c r="F170" s="93">
        <v>0.25</v>
      </c>
      <c r="G170" s="86" t="s">
        <v>143</v>
      </c>
      <c r="H170" s="93"/>
      <c r="I170" s="93"/>
      <c r="J170" s="93"/>
      <c r="K170" s="93"/>
      <c r="L170" s="93"/>
      <c r="M170" s="93"/>
      <c r="N170" s="93"/>
      <c r="O170" s="10">
        <f t="shared" si="7"/>
        <v>0</v>
      </c>
    </row>
    <row r="171" spans="2:15">
      <c r="B171" s="96" t="s">
        <v>1275</v>
      </c>
      <c r="C171" s="86"/>
      <c r="D171" s="86"/>
      <c r="E171" s="86" t="s">
        <v>1276</v>
      </c>
      <c r="F171" s="93">
        <v>0.5</v>
      </c>
      <c r="G171" s="86" t="s">
        <v>21</v>
      </c>
      <c r="H171" s="93"/>
      <c r="I171" s="93"/>
      <c r="J171" s="93"/>
      <c r="K171" s="93"/>
      <c r="L171" s="93"/>
      <c r="M171" s="93"/>
      <c r="N171" s="93"/>
      <c r="O171" s="10">
        <f t="shared" si="7"/>
        <v>0</v>
      </c>
    </row>
    <row r="172" spans="2:15">
      <c r="B172" s="96" t="s">
        <v>1277</v>
      </c>
      <c r="C172" s="86"/>
      <c r="D172" s="86"/>
      <c r="E172" s="86" t="s">
        <v>1278</v>
      </c>
      <c r="F172" s="93">
        <v>0.25</v>
      </c>
      <c r="G172" s="86" t="s">
        <v>143</v>
      </c>
      <c r="H172" s="93"/>
      <c r="I172" s="93"/>
      <c r="J172" s="93"/>
      <c r="K172" s="93"/>
      <c r="L172" s="93"/>
      <c r="M172" s="93"/>
      <c r="N172" s="93"/>
      <c r="O172" s="10">
        <f t="shared" si="7"/>
        <v>0</v>
      </c>
    </row>
    <row r="173" spans="2:15">
      <c r="B173" s="96" t="s">
        <v>1279</v>
      </c>
      <c r="C173" s="86"/>
      <c r="D173" s="86"/>
      <c r="E173" s="86" t="s">
        <v>1280</v>
      </c>
      <c r="F173" s="93">
        <v>0.5</v>
      </c>
      <c r="G173" s="86" t="s">
        <v>21</v>
      </c>
      <c r="H173" s="93"/>
      <c r="I173" s="93"/>
      <c r="J173" s="93"/>
      <c r="K173" s="93"/>
      <c r="L173" s="93"/>
      <c r="M173" s="93"/>
      <c r="N173" s="93"/>
      <c r="O173" s="10">
        <f t="shared" si="7"/>
        <v>0</v>
      </c>
    </row>
    <row r="174" spans="2:15">
      <c r="B174" s="96" t="s">
        <v>1281</v>
      </c>
      <c r="C174" s="86"/>
      <c r="D174" s="86"/>
      <c r="E174" s="86" t="s">
        <v>1282</v>
      </c>
      <c r="F174" s="93">
        <v>0.75</v>
      </c>
      <c r="G174" s="86" t="s">
        <v>17</v>
      </c>
      <c r="H174" s="93"/>
      <c r="I174" s="93"/>
      <c r="J174" s="93"/>
      <c r="K174" s="93"/>
      <c r="L174" s="93"/>
      <c r="M174" s="93"/>
      <c r="N174" s="93"/>
      <c r="O174" s="10">
        <f t="shared" si="7"/>
        <v>0</v>
      </c>
    </row>
    <row r="175" spans="2:15">
      <c r="B175" s="96" t="s">
        <v>1283</v>
      </c>
      <c r="C175" s="86"/>
      <c r="D175" s="86"/>
      <c r="E175" s="86" t="s">
        <v>1284</v>
      </c>
      <c r="F175" s="93">
        <v>0.5</v>
      </c>
      <c r="G175" s="86" t="s">
        <v>21</v>
      </c>
      <c r="H175" s="93"/>
      <c r="I175" s="93"/>
      <c r="J175" s="93"/>
      <c r="K175" s="93"/>
      <c r="L175" s="93"/>
      <c r="M175" s="93"/>
      <c r="N175" s="93"/>
      <c r="O175" s="10">
        <f t="shared" si="7"/>
        <v>0</v>
      </c>
    </row>
    <row r="176" spans="2:15">
      <c r="B176" s="96" t="s">
        <v>1285</v>
      </c>
      <c r="C176" s="86"/>
      <c r="D176" s="86"/>
      <c r="E176" s="86" t="s">
        <v>1286</v>
      </c>
      <c r="F176" s="93">
        <v>0.5</v>
      </c>
      <c r="G176" s="86" t="s">
        <v>21</v>
      </c>
      <c r="H176" s="93"/>
      <c r="I176" s="93"/>
      <c r="J176" s="93"/>
      <c r="K176" s="93"/>
      <c r="L176" s="93"/>
      <c r="M176" s="93"/>
      <c r="N176" s="93"/>
      <c r="O176" s="10">
        <f t="shared" si="7"/>
        <v>0</v>
      </c>
    </row>
    <row r="177" spans="1:15">
      <c r="B177" s="96" t="s">
        <v>1287</v>
      </c>
      <c r="C177" s="86"/>
      <c r="D177" s="86"/>
      <c r="E177" s="86" t="s">
        <v>1288</v>
      </c>
      <c r="F177" s="93">
        <v>0.5</v>
      </c>
      <c r="G177" s="86" t="s">
        <v>21</v>
      </c>
      <c r="H177" s="93"/>
      <c r="I177" s="93"/>
      <c r="J177" s="93"/>
      <c r="K177" s="93"/>
      <c r="L177" s="93"/>
      <c r="M177" s="93"/>
      <c r="N177" s="93"/>
      <c r="O177" s="10">
        <f t="shared" si="7"/>
        <v>0</v>
      </c>
    </row>
    <row r="178" spans="1:15">
      <c r="B178" s="96" t="s">
        <v>71</v>
      </c>
      <c r="C178" s="86"/>
      <c r="D178" s="86"/>
      <c r="E178" s="86" t="s">
        <v>1289</v>
      </c>
      <c r="F178" s="93">
        <v>0.25</v>
      </c>
      <c r="G178" s="86" t="s">
        <v>143</v>
      </c>
      <c r="H178" s="93"/>
      <c r="I178" s="93"/>
      <c r="J178" s="93"/>
      <c r="K178" s="93"/>
      <c r="L178" s="93"/>
      <c r="M178" s="93"/>
      <c r="N178" s="93"/>
      <c r="O178" s="10">
        <f t="shared" si="7"/>
        <v>0</v>
      </c>
    </row>
    <row r="179" spans="1:15" s="7" customFormat="1">
      <c r="A179" s="18"/>
      <c r="B179" s="126" t="s">
        <v>463</v>
      </c>
      <c r="C179" s="2" t="s">
        <v>2161</v>
      </c>
      <c r="D179" s="2">
        <v>21</v>
      </c>
      <c r="E179" s="2" t="s">
        <v>2353</v>
      </c>
      <c r="F179" s="2">
        <v>0.5</v>
      </c>
      <c r="G179" s="2" t="s">
        <v>21</v>
      </c>
      <c r="H179" s="2"/>
      <c r="I179" s="2"/>
      <c r="J179" s="2"/>
      <c r="K179" s="2"/>
      <c r="L179" s="2"/>
      <c r="M179" s="10"/>
      <c r="N179" s="10">
        <f>F179*M179</f>
        <v>0</v>
      </c>
      <c r="O179" s="10">
        <f t="shared" si="7"/>
        <v>0</v>
      </c>
    </row>
    <row r="180" spans="1:15" ht="60.75">
      <c r="B180" s="96" t="s">
        <v>80</v>
      </c>
      <c r="C180" s="86" t="s">
        <v>20</v>
      </c>
      <c r="D180" s="86"/>
      <c r="E180" s="86" t="s">
        <v>1290</v>
      </c>
      <c r="F180" s="93">
        <v>0.25</v>
      </c>
      <c r="G180" s="86" t="s">
        <v>46</v>
      </c>
      <c r="H180" s="86"/>
      <c r="I180" s="86"/>
      <c r="J180" s="86"/>
      <c r="K180" s="86"/>
      <c r="L180" s="86"/>
      <c r="M180" s="86"/>
      <c r="N180" s="86"/>
      <c r="O180" s="10">
        <f t="shared" si="7"/>
        <v>0</v>
      </c>
    </row>
    <row r="181" spans="1:15" ht="30.75">
      <c r="B181" s="91" t="s">
        <v>1291</v>
      </c>
      <c r="D181" s="91"/>
      <c r="E181" s="91"/>
      <c r="F181" s="91"/>
      <c r="H181" s="91"/>
      <c r="I181" s="91"/>
      <c r="J181" s="91"/>
      <c r="K181" s="91"/>
      <c r="L181" s="91"/>
      <c r="M181" s="91"/>
      <c r="N181" s="91"/>
      <c r="O181" s="109"/>
    </row>
    <row r="182" spans="1:15">
      <c r="B182" s="96" t="s">
        <v>1292</v>
      </c>
      <c r="C182" s="86"/>
      <c r="D182" s="86"/>
      <c r="E182" s="86" t="s">
        <v>1293</v>
      </c>
      <c r="F182" s="86"/>
      <c r="G182" s="86" t="s">
        <v>46</v>
      </c>
      <c r="H182" s="86"/>
      <c r="I182" s="86"/>
      <c r="J182" s="86"/>
      <c r="K182" s="86"/>
      <c r="L182" s="86"/>
      <c r="M182" s="86"/>
      <c r="N182" s="86"/>
      <c r="O182" s="10">
        <f t="shared" ref="O182:O192" si="8">F182*N182</f>
        <v>0</v>
      </c>
    </row>
    <row r="183" spans="1:15">
      <c r="B183" s="96" t="s">
        <v>1294</v>
      </c>
      <c r="C183" s="86"/>
      <c r="D183" s="86"/>
      <c r="E183" s="86" t="s">
        <v>1295</v>
      </c>
      <c r="F183" s="86"/>
      <c r="G183" s="86" t="s">
        <v>46</v>
      </c>
      <c r="H183" s="86"/>
      <c r="I183" s="86"/>
      <c r="J183" s="86"/>
      <c r="K183" s="86"/>
      <c r="L183" s="86"/>
      <c r="M183" s="86"/>
      <c r="N183" s="86"/>
      <c r="O183" s="10">
        <f t="shared" si="8"/>
        <v>0</v>
      </c>
    </row>
    <row r="184" spans="1:15">
      <c r="B184" s="96" t="s">
        <v>1296</v>
      </c>
      <c r="C184" s="86"/>
      <c r="D184" s="86"/>
      <c r="E184" s="86" t="s">
        <v>1297</v>
      </c>
      <c r="F184" s="86"/>
      <c r="G184" s="86" t="s">
        <v>46</v>
      </c>
      <c r="H184" s="86"/>
      <c r="I184" s="86"/>
      <c r="J184" s="86"/>
      <c r="K184" s="86"/>
      <c r="L184" s="86"/>
      <c r="M184" s="86"/>
      <c r="N184" s="86"/>
      <c r="O184" s="10">
        <f t="shared" si="8"/>
        <v>0</v>
      </c>
    </row>
    <row r="185" spans="1:15">
      <c r="B185" s="96" t="s">
        <v>1298</v>
      </c>
      <c r="C185" s="86"/>
      <c r="D185" s="86"/>
      <c r="E185" s="86" t="s">
        <v>1299</v>
      </c>
      <c r="F185" s="86"/>
      <c r="G185" s="86" t="s">
        <v>46</v>
      </c>
      <c r="H185" s="86"/>
      <c r="I185" s="86"/>
      <c r="J185" s="86"/>
      <c r="K185" s="86"/>
      <c r="L185" s="86"/>
      <c r="M185" s="86"/>
      <c r="N185" s="86"/>
      <c r="O185" s="10">
        <f t="shared" si="8"/>
        <v>0</v>
      </c>
    </row>
    <row r="186" spans="1:15">
      <c r="B186" s="96" t="s">
        <v>1300</v>
      </c>
      <c r="C186" s="86"/>
      <c r="D186" s="86"/>
      <c r="E186" s="86" t="s">
        <v>1301</v>
      </c>
      <c r="F186" s="86"/>
      <c r="G186" s="86" t="s">
        <v>46</v>
      </c>
      <c r="H186" s="86"/>
      <c r="I186" s="86"/>
      <c r="J186" s="86"/>
      <c r="K186" s="86"/>
      <c r="L186" s="86"/>
      <c r="M186" s="86"/>
      <c r="N186" s="86"/>
      <c r="O186" s="10">
        <f t="shared" si="8"/>
        <v>0</v>
      </c>
    </row>
    <row r="187" spans="1:15">
      <c r="B187" s="96" t="s">
        <v>1302</v>
      </c>
      <c r="C187" s="86"/>
      <c r="D187" s="86"/>
      <c r="E187" s="86" t="s">
        <v>1303</v>
      </c>
      <c r="F187" s="86"/>
      <c r="G187" s="86" t="s">
        <v>46</v>
      </c>
      <c r="H187" s="86"/>
      <c r="I187" s="86"/>
      <c r="J187" s="86"/>
      <c r="K187" s="86"/>
      <c r="L187" s="86"/>
      <c r="M187" s="86"/>
      <c r="N187" s="86"/>
      <c r="O187" s="10">
        <f t="shared" si="8"/>
        <v>0</v>
      </c>
    </row>
    <row r="188" spans="1:15">
      <c r="B188" s="96" t="s">
        <v>1304</v>
      </c>
      <c r="C188" s="86"/>
      <c r="D188" s="86"/>
      <c r="E188" s="86">
        <v>2</v>
      </c>
      <c r="F188" s="86"/>
      <c r="G188" s="86" t="s">
        <v>46</v>
      </c>
      <c r="H188" s="86"/>
      <c r="I188" s="86"/>
      <c r="J188" s="86"/>
      <c r="K188" s="86"/>
      <c r="L188" s="86"/>
      <c r="M188" s="86"/>
      <c r="N188" s="86"/>
      <c r="O188" s="10">
        <f t="shared" si="8"/>
        <v>0</v>
      </c>
    </row>
    <row r="189" spans="1:15">
      <c r="B189" s="96" t="s">
        <v>591</v>
      </c>
      <c r="C189" s="86"/>
      <c r="D189" s="86"/>
      <c r="E189" s="86" t="s">
        <v>1305</v>
      </c>
      <c r="F189" s="86"/>
      <c r="G189" s="86" t="s">
        <v>46</v>
      </c>
      <c r="H189" s="86"/>
      <c r="I189" s="86"/>
      <c r="J189" s="86"/>
      <c r="K189" s="86"/>
      <c r="L189" s="86"/>
      <c r="M189" s="86"/>
      <c r="N189" s="86"/>
      <c r="O189" s="10">
        <f t="shared" si="8"/>
        <v>0</v>
      </c>
    </row>
    <row r="190" spans="1:15">
      <c r="B190" s="96" t="s">
        <v>1306</v>
      </c>
      <c r="C190" s="86"/>
      <c r="D190" s="86"/>
      <c r="E190" s="86" t="s">
        <v>1307</v>
      </c>
      <c r="F190" s="86"/>
      <c r="G190" s="86" t="s">
        <v>21</v>
      </c>
      <c r="H190" s="86"/>
      <c r="I190" s="86"/>
      <c r="J190" s="86"/>
      <c r="K190" s="86"/>
      <c r="L190" s="86"/>
      <c r="M190" s="86"/>
      <c r="N190" s="86"/>
      <c r="O190" s="10">
        <f t="shared" si="8"/>
        <v>0</v>
      </c>
    </row>
    <row r="191" spans="1:15">
      <c r="B191" s="96" t="s">
        <v>1308</v>
      </c>
      <c r="C191" s="86"/>
      <c r="D191" s="86"/>
      <c r="E191" s="86" t="s">
        <v>1309</v>
      </c>
      <c r="F191" s="86"/>
      <c r="G191" s="86" t="s">
        <v>21</v>
      </c>
      <c r="H191" s="86"/>
      <c r="I191" s="86"/>
      <c r="J191" s="86"/>
      <c r="K191" s="86"/>
      <c r="L191" s="86"/>
      <c r="M191" s="86"/>
      <c r="N191" s="86"/>
      <c r="O191" s="10">
        <f t="shared" si="8"/>
        <v>0</v>
      </c>
    </row>
    <row r="192" spans="1:15">
      <c r="B192" s="96" t="s">
        <v>1310</v>
      </c>
      <c r="C192" s="86"/>
      <c r="D192" s="86"/>
      <c r="E192" s="86" t="s">
        <v>1311</v>
      </c>
      <c r="F192" s="86"/>
      <c r="G192" s="86" t="s">
        <v>143</v>
      </c>
      <c r="H192" s="86"/>
      <c r="I192" s="86"/>
      <c r="J192" s="86"/>
      <c r="K192" s="86"/>
      <c r="L192" s="86"/>
      <c r="M192" s="86"/>
      <c r="N192" s="86"/>
      <c r="O192" s="10">
        <f t="shared" si="8"/>
        <v>0</v>
      </c>
    </row>
    <row r="194" spans="1:15">
      <c r="A194" s="92" t="s">
        <v>1604</v>
      </c>
      <c r="B194" s="96" t="s">
        <v>1329</v>
      </c>
      <c r="C194" s="86" t="s">
        <v>20</v>
      </c>
      <c r="D194" s="89"/>
      <c r="E194" s="86" t="s">
        <v>1330</v>
      </c>
      <c r="F194" s="86"/>
      <c r="G194" s="86" t="s">
        <v>46</v>
      </c>
      <c r="H194" s="86"/>
      <c r="I194" s="86"/>
      <c r="J194" s="86"/>
      <c r="K194" s="86"/>
      <c r="L194" s="86"/>
      <c r="M194" s="86"/>
      <c r="N194" s="88"/>
      <c r="O194" s="10">
        <f t="shared" ref="O194:O257" si="9">F194*N194</f>
        <v>0</v>
      </c>
    </row>
    <row r="195" spans="1:15">
      <c r="B195" s="96" t="s">
        <v>784</v>
      </c>
      <c r="C195" s="86" t="s">
        <v>204</v>
      </c>
      <c r="D195" s="89"/>
      <c r="E195" s="86" t="s">
        <v>1334</v>
      </c>
      <c r="F195" s="86"/>
      <c r="G195" s="86" t="s">
        <v>21</v>
      </c>
      <c r="H195" s="86" t="s">
        <v>605</v>
      </c>
      <c r="I195" s="86"/>
      <c r="J195" s="86"/>
      <c r="K195" s="86"/>
      <c r="L195" s="86"/>
      <c r="M195" s="86"/>
      <c r="N195" s="88"/>
      <c r="O195" s="10">
        <f t="shared" si="9"/>
        <v>0</v>
      </c>
    </row>
    <row r="196" spans="1:15">
      <c r="B196" s="96" t="s">
        <v>1335</v>
      </c>
      <c r="C196" s="86" t="s">
        <v>95</v>
      </c>
      <c r="D196" s="89"/>
      <c r="E196" s="86" t="s">
        <v>1336</v>
      </c>
      <c r="F196" s="86"/>
      <c r="G196" s="86" t="s">
        <v>143</v>
      </c>
      <c r="H196" s="86"/>
      <c r="I196" s="86"/>
      <c r="J196" s="86"/>
      <c r="K196" s="86"/>
      <c r="L196" s="86"/>
      <c r="M196" s="86"/>
      <c r="N196" s="88"/>
      <c r="O196" s="10">
        <f t="shared" si="9"/>
        <v>0</v>
      </c>
    </row>
    <row r="197" spans="1:15">
      <c r="B197" s="96" t="s">
        <v>1337</v>
      </c>
      <c r="C197" s="86" t="s">
        <v>20</v>
      </c>
      <c r="D197" s="89"/>
      <c r="E197" s="86" t="s">
        <v>1338</v>
      </c>
      <c r="F197" s="86"/>
      <c r="G197" s="86" t="s">
        <v>21</v>
      </c>
      <c r="H197" s="86"/>
      <c r="I197" s="86"/>
      <c r="J197" s="86"/>
      <c r="K197" s="86"/>
      <c r="L197" s="86"/>
      <c r="M197" s="86"/>
      <c r="N197" s="88"/>
      <c r="O197" s="10">
        <f t="shared" si="9"/>
        <v>0</v>
      </c>
    </row>
    <row r="198" spans="1:15">
      <c r="B198" s="96" t="s">
        <v>1339</v>
      </c>
      <c r="C198" s="86" t="s">
        <v>20</v>
      </c>
      <c r="D198" s="89"/>
      <c r="E198" s="86" t="s">
        <v>1340</v>
      </c>
      <c r="F198" s="86"/>
      <c r="G198" s="86" t="s">
        <v>16</v>
      </c>
      <c r="H198" s="86"/>
      <c r="I198" s="86"/>
      <c r="J198" s="86"/>
      <c r="K198" s="86"/>
      <c r="L198" s="86"/>
      <c r="M198" s="86"/>
      <c r="N198" s="88"/>
      <c r="O198" s="10">
        <f t="shared" si="9"/>
        <v>0</v>
      </c>
    </row>
    <row r="199" spans="1:15">
      <c r="B199" s="96" t="s">
        <v>1341</v>
      </c>
      <c r="C199" s="86" t="s">
        <v>20</v>
      </c>
      <c r="D199" s="89"/>
      <c r="E199" s="86" t="s">
        <v>1342</v>
      </c>
      <c r="F199" s="86"/>
      <c r="G199" s="86" t="s">
        <v>21</v>
      </c>
      <c r="H199" s="86"/>
      <c r="I199" s="86"/>
      <c r="J199" s="86"/>
      <c r="K199" s="86"/>
      <c r="L199" s="86"/>
      <c r="M199" s="86"/>
      <c r="N199" s="88"/>
      <c r="O199" s="10">
        <f t="shared" si="9"/>
        <v>0</v>
      </c>
    </row>
    <row r="200" spans="1:15">
      <c r="B200" s="96" t="s">
        <v>1343</v>
      </c>
      <c r="C200" s="86"/>
      <c r="D200" s="89"/>
      <c r="E200" s="86" t="s">
        <v>1344</v>
      </c>
      <c r="F200" s="86"/>
      <c r="G200" s="86" t="s">
        <v>143</v>
      </c>
      <c r="H200" s="86" t="s">
        <v>1345</v>
      </c>
      <c r="I200" s="86"/>
      <c r="J200" s="86"/>
      <c r="K200" s="86"/>
      <c r="L200" s="86"/>
      <c r="M200" s="86"/>
      <c r="N200" s="88"/>
      <c r="O200" s="10">
        <f t="shared" si="9"/>
        <v>0</v>
      </c>
    </row>
    <row r="201" spans="1:15" ht="60.75">
      <c r="B201" s="96" t="s">
        <v>79</v>
      </c>
      <c r="C201" s="86" t="s">
        <v>20</v>
      </c>
      <c r="D201" s="89"/>
      <c r="E201" s="86" t="s">
        <v>1346</v>
      </c>
      <c r="F201" s="86"/>
      <c r="G201" s="86" t="s">
        <v>21</v>
      </c>
      <c r="H201" s="86"/>
      <c r="I201" s="86"/>
      <c r="J201" s="86"/>
      <c r="K201" s="86"/>
      <c r="L201" s="86"/>
      <c r="M201" s="86"/>
      <c r="N201" s="88"/>
      <c r="O201" s="10">
        <f t="shared" si="9"/>
        <v>0</v>
      </c>
    </row>
    <row r="202" spans="1:15" ht="30.75">
      <c r="B202" s="96" t="s">
        <v>1347</v>
      </c>
      <c r="C202" s="86" t="s">
        <v>20</v>
      </c>
      <c r="D202" s="89"/>
      <c r="E202" s="86" t="s">
        <v>1348</v>
      </c>
      <c r="F202" s="86">
        <v>0.5</v>
      </c>
      <c r="G202" s="86" t="s">
        <v>21</v>
      </c>
      <c r="H202" s="86"/>
      <c r="I202" s="86"/>
      <c r="J202" s="86"/>
      <c r="K202" s="86"/>
      <c r="L202" s="86"/>
      <c r="M202" s="86"/>
      <c r="N202" s="88"/>
      <c r="O202" s="10">
        <f t="shared" si="9"/>
        <v>0</v>
      </c>
    </row>
    <row r="203" spans="1:15">
      <c r="B203" s="96" t="s">
        <v>1349</v>
      </c>
      <c r="C203" s="86" t="s">
        <v>20</v>
      </c>
      <c r="D203" s="89"/>
      <c r="E203" s="86" t="s">
        <v>1350</v>
      </c>
      <c r="F203" s="86"/>
      <c r="G203" s="86" t="s">
        <v>17</v>
      </c>
      <c r="H203" s="86"/>
      <c r="I203" s="86"/>
      <c r="J203" s="86"/>
      <c r="K203" s="86"/>
      <c r="L203" s="86"/>
      <c r="M203" s="86"/>
      <c r="N203" s="88"/>
      <c r="O203" s="10">
        <f t="shared" si="9"/>
        <v>0</v>
      </c>
    </row>
    <row r="204" spans="1:15" ht="30.75">
      <c r="B204" s="96" t="s">
        <v>1351</v>
      </c>
      <c r="C204" s="86" t="s">
        <v>95</v>
      </c>
      <c r="D204" s="89"/>
      <c r="E204" s="86" t="s">
        <v>1352</v>
      </c>
      <c r="F204" s="86"/>
      <c r="G204" s="86" t="s">
        <v>143</v>
      </c>
      <c r="H204" s="86"/>
      <c r="I204" s="86"/>
      <c r="J204" s="86"/>
      <c r="K204" s="86"/>
      <c r="L204" s="86"/>
      <c r="M204" s="86"/>
      <c r="N204" s="88"/>
      <c r="O204" s="10">
        <f t="shared" si="9"/>
        <v>0</v>
      </c>
    </row>
    <row r="205" spans="1:15">
      <c r="B205" s="96" t="s">
        <v>1353</v>
      </c>
      <c r="C205" s="86" t="s">
        <v>20</v>
      </c>
      <c r="D205" s="89"/>
      <c r="E205" s="86" t="s">
        <v>1354</v>
      </c>
      <c r="F205" s="86"/>
      <c r="G205" s="86" t="s">
        <v>143</v>
      </c>
      <c r="H205" s="86"/>
      <c r="I205" s="86"/>
      <c r="J205" s="86"/>
      <c r="K205" s="86"/>
      <c r="L205" s="86"/>
      <c r="M205" s="86"/>
      <c r="N205" s="88"/>
      <c r="O205" s="10">
        <f t="shared" si="9"/>
        <v>0</v>
      </c>
    </row>
    <row r="206" spans="1:15">
      <c r="B206" s="96" t="s">
        <v>1355</v>
      </c>
      <c r="C206" s="86" t="s">
        <v>20</v>
      </c>
      <c r="D206" s="89"/>
      <c r="E206" s="86" t="s">
        <v>1356</v>
      </c>
      <c r="F206" s="86"/>
      <c r="G206" s="86" t="s">
        <v>46</v>
      </c>
      <c r="H206" s="86" t="s">
        <v>295</v>
      </c>
      <c r="I206" s="86"/>
      <c r="J206" s="86"/>
      <c r="K206" s="86"/>
      <c r="L206" s="86"/>
      <c r="M206" s="86"/>
      <c r="N206" s="88"/>
      <c r="O206" s="10">
        <f t="shared" si="9"/>
        <v>0</v>
      </c>
    </row>
    <row r="207" spans="1:15">
      <c r="B207" s="96" t="s">
        <v>1357</v>
      </c>
      <c r="C207" s="86" t="s">
        <v>95</v>
      </c>
      <c r="D207" s="89"/>
      <c r="E207" s="86" t="s">
        <v>2151</v>
      </c>
      <c r="F207" s="86"/>
      <c r="G207" s="86" t="s">
        <v>16</v>
      </c>
      <c r="H207" s="86"/>
      <c r="I207" s="86"/>
      <c r="J207" s="86"/>
      <c r="K207" s="86"/>
      <c r="L207" s="86"/>
      <c r="M207" s="86"/>
      <c r="N207" s="88"/>
      <c r="O207" s="10">
        <f t="shared" si="9"/>
        <v>0</v>
      </c>
    </row>
    <row r="208" spans="1:15">
      <c r="B208" s="96" t="s">
        <v>1358</v>
      </c>
      <c r="C208" s="86" t="s">
        <v>20</v>
      </c>
      <c r="D208" s="89"/>
      <c r="E208" s="86" t="s">
        <v>1359</v>
      </c>
      <c r="F208" s="86"/>
      <c r="G208" s="86" t="s">
        <v>21</v>
      </c>
      <c r="H208" s="86"/>
      <c r="I208" s="86"/>
      <c r="J208" s="86"/>
      <c r="K208" s="86"/>
      <c r="L208" s="86"/>
      <c r="M208" s="86"/>
      <c r="N208" s="88"/>
      <c r="O208" s="10">
        <f t="shared" si="9"/>
        <v>0</v>
      </c>
    </row>
    <row r="209" spans="2:15">
      <c r="B209" s="96" t="s">
        <v>1360</v>
      </c>
      <c r="C209" s="86" t="s">
        <v>95</v>
      </c>
      <c r="D209" s="89"/>
      <c r="E209" s="86" t="s">
        <v>1361</v>
      </c>
      <c r="F209" s="86"/>
      <c r="G209" s="86" t="s">
        <v>29</v>
      </c>
      <c r="H209" s="86"/>
      <c r="I209" s="86"/>
      <c r="J209" s="86"/>
      <c r="K209" s="86"/>
      <c r="L209" s="86"/>
      <c r="M209" s="86"/>
      <c r="N209" s="88"/>
      <c r="O209" s="10">
        <f t="shared" si="9"/>
        <v>0</v>
      </c>
    </row>
    <row r="210" spans="2:15" ht="120.75">
      <c r="B210" s="96" t="s">
        <v>1362</v>
      </c>
      <c r="C210" s="86" t="s">
        <v>20</v>
      </c>
      <c r="D210" s="89"/>
      <c r="E210" s="86" t="s">
        <v>1363</v>
      </c>
      <c r="F210" s="86"/>
      <c r="G210" s="86" t="s">
        <v>21</v>
      </c>
      <c r="H210" s="86"/>
      <c r="I210" s="86"/>
      <c r="J210" s="86"/>
      <c r="K210" s="86"/>
      <c r="L210" s="86"/>
      <c r="M210" s="86"/>
      <c r="N210" s="88"/>
      <c r="O210" s="10">
        <f t="shared" si="9"/>
        <v>0</v>
      </c>
    </row>
    <row r="211" spans="2:15">
      <c r="B211" s="96" t="s">
        <v>1364</v>
      </c>
      <c r="C211" s="86" t="s">
        <v>14</v>
      </c>
      <c r="D211" s="89"/>
      <c r="E211" s="86" t="s">
        <v>1365</v>
      </c>
      <c r="F211" s="86"/>
      <c r="G211" s="86" t="s">
        <v>143</v>
      </c>
      <c r="H211" s="86"/>
      <c r="I211" s="86"/>
      <c r="J211" s="86"/>
      <c r="K211" s="86"/>
      <c r="L211" s="86"/>
      <c r="M211" s="86"/>
      <c r="N211" s="88"/>
      <c r="O211" s="10">
        <f t="shared" si="9"/>
        <v>0</v>
      </c>
    </row>
    <row r="212" spans="2:15" ht="17.25" customHeight="1">
      <c r="B212" s="96" t="s">
        <v>1366</v>
      </c>
      <c r="C212" s="86" t="s">
        <v>20</v>
      </c>
      <c r="D212" s="89"/>
      <c r="E212" s="86" t="s">
        <v>1367</v>
      </c>
      <c r="F212" s="86"/>
      <c r="G212" s="86" t="s">
        <v>16</v>
      </c>
      <c r="H212" s="86" t="s">
        <v>1368</v>
      </c>
      <c r="I212" s="86"/>
      <c r="J212" s="86"/>
      <c r="K212" s="86"/>
      <c r="L212" s="86"/>
      <c r="M212" s="86"/>
      <c r="N212" s="88"/>
      <c r="O212" s="10">
        <f t="shared" si="9"/>
        <v>0</v>
      </c>
    </row>
    <row r="213" spans="2:15">
      <c r="B213" s="96" t="s">
        <v>1366</v>
      </c>
      <c r="C213" s="86" t="s">
        <v>20</v>
      </c>
      <c r="D213" s="89"/>
      <c r="E213" s="86" t="s">
        <v>1369</v>
      </c>
      <c r="F213" s="86"/>
      <c r="G213" s="86" t="s">
        <v>17</v>
      </c>
      <c r="H213" s="86"/>
      <c r="I213" s="86"/>
      <c r="J213" s="86"/>
      <c r="K213" s="86"/>
      <c r="L213" s="86"/>
      <c r="M213" s="86"/>
      <c r="N213" s="88"/>
      <c r="O213" s="10">
        <f t="shared" si="9"/>
        <v>0</v>
      </c>
    </row>
    <row r="214" spans="2:15">
      <c r="B214" s="96" t="s">
        <v>1366</v>
      </c>
      <c r="C214" s="86" t="s">
        <v>20</v>
      </c>
      <c r="D214" s="89"/>
      <c r="E214" s="86" t="s">
        <v>1370</v>
      </c>
      <c r="F214" s="86"/>
      <c r="G214" s="86" t="s">
        <v>59</v>
      </c>
      <c r="H214" s="86"/>
      <c r="I214" s="86"/>
      <c r="J214" s="86"/>
      <c r="K214" s="86"/>
      <c r="L214" s="86"/>
      <c r="M214" s="86"/>
      <c r="N214" s="88"/>
      <c r="O214" s="10">
        <f t="shared" si="9"/>
        <v>0</v>
      </c>
    </row>
    <row r="215" spans="2:15">
      <c r="B215" s="96" t="s">
        <v>1371</v>
      </c>
      <c r="C215" s="86" t="s">
        <v>20</v>
      </c>
      <c r="D215" s="89"/>
      <c r="E215" s="86" t="s">
        <v>1372</v>
      </c>
      <c r="F215" s="86"/>
      <c r="G215" s="86" t="s">
        <v>59</v>
      </c>
      <c r="H215" s="86" t="s">
        <v>1373</v>
      </c>
      <c r="I215" s="86"/>
      <c r="J215" s="86"/>
      <c r="K215" s="86"/>
      <c r="L215" s="86"/>
      <c r="M215" s="86"/>
      <c r="N215" s="88"/>
      <c r="O215" s="10">
        <f t="shared" si="9"/>
        <v>0</v>
      </c>
    </row>
    <row r="216" spans="2:15" ht="30.75">
      <c r="B216" s="96" t="s">
        <v>1374</v>
      </c>
      <c r="C216" s="86" t="s">
        <v>95</v>
      </c>
      <c r="D216" s="89"/>
      <c r="E216" s="86" t="s">
        <v>1375</v>
      </c>
      <c r="F216" s="86"/>
      <c r="G216" s="86" t="s">
        <v>269</v>
      </c>
      <c r="H216" s="86"/>
      <c r="I216" s="86"/>
      <c r="J216" s="86"/>
      <c r="K216" s="86"/>
      <c r="L216" s="86"/>
      <c r="M216" s="86"/>
      <c r="N216" s="88"/>
      <c r="O216" s="10">
        <f t="shared" si="9"/>
        <v>0</v>
      </c>
    </row>
    <row r="217" spans="2:15">
      <c r="B217" s="96" t="s">
        <v>1376</v>
      </c>
      <c r="C217" s="86" t="s">
        <v>95</v>
      </c>
      <c r="D217" s="89"/>
      <c r="E217" s="86" t="s">
        <v>1377</v>
      </c>
      <c r="F217" s="86"/>
      <c r="G217" s="86" t="s">
        <v>143</v>
      </c>
      <c r="H217" s="86"/>
      <c r="I217" s="86"/>
      <c r="J217" s="86"/>
      <c r="K217" s="86"/>
      <c r="L217" s="86"/>
      <c r="M217" s="86"/>
      <c r="N217" s="88"/>
      <c r="O217" s="10">
        <f t="shared" si="9"/>
        <v>0</v>
      </c>
    </row>
    <row r="218" spans="2:15">
      <c r="B218" s="96" t="s">
        <v>1378</v>
      </c>
      <c r="C218" s="86" t="s">
        <v>95</v>
      </c>
      <c r="D218" s="89"/>
      <c r="E218" s="86" t="s">
        <v>1379</v>
      </c>
      <c r="F218" s="86"/>
      <c r="G218" s="86" t="s">
        <v>59</v>
      </c>
      <c r="H218" s="86"/>
      <c r="I218" s="86"/>
      <c r="J218" s="86"/>
      <c r="K218" s="86"/>
      <c r="L218" s="86"/>
      <c r="M218" s="86"/>
      <c r="N218" s="88"/>
      <c r="O218" s="10">
        <f t="shared" si="9"/>
        <v>0</v>
      </c>
    </row>
    <row r="219" spans="2:15">
      <c r="B219" s="96" t="s">
        <v>1378</v>
      </c>
      <c r="C219" s="86" t="s">
        <v>95</v>
      </c>
      <c r="D219" s="89"/>
      <c r="E219" s="86" t="s">
        <v>1380</v>
      </c>
      <c r="F219" s="86"/>
      <c r="G219" s="86" t="s">
        <v>269</v>
      </c>
      <c r="H219" s="86" t="s">
        <v>335</v>
      </c>
      <c r="I219" s="86"/>
      <c r="J219" s="86"/>
      <c r="K219" s="86"/>
      <c r="L219" s="86"/>
      <c r="M219" s="86"/>
      <c r="N219" s="88"/>
      <c r="O219" s="10">
        <f t="shared" si="9"/>
        <v>0</v>
      </c>
    </row>
    <row r="220" spans="2:15" ht="30.75">
      <c r="B220" s="96" t="s">
        <v>1381</v>
      </c>
      <c r="C220" s="86" t="s">
        <v>95</v>
      </c>
      <c r="D220" s="89"/>
      <c r="E220" s="86" t="s">
        <v>1382</v>
      </c>
      <c r="F220" s="86"/>
      <c r="G220" s="86" t="s">
        <v>59</v>
      </c>
      <c r="H220" s="86"/>
      <c r="I220" s="86"/>
      <c r="J220" s="86"/>
      <c r="K220" s="86"/>
      <c r="L220" s="86"/>
      <c r="M220" s="86"/>
      <c r="N220" s="88"/>
      <c r="O220" s="10">
        <f t="shared" si="9"/>
        <v>0</v>
      </c>
    </row>
    <row r="221" spans="2:15" ht="30.75">
      <c r="B221" s="96" t="s">
        <v>1383</v>
      </c>
      <c r="C221" s="86" t="s">
        <v>95</v>
      </c>
      <c r="D221" s="89"/>
      <c r="E221" s="86" t="s">
        <v>1384</v>
      </c>
      <c r="F221" s="86"/>
      <c r="G221" s="86" t="s">
        <v>269</v>
      </c>
      <c r="H221" s="86"/>
      <c r="I221" s="86"/>
      <c r="J221" s="86"/>
      <c r="K221" s="86"/>
      <c r="L221" s="86"/>
      <c r="M221" s="86"/>
      <c r="N221" s="88"/>
      <c r="O221" s="10">
        <f t="shared" si="9"/>
        <v>0</v>
      </c>
    </row>
    <row r="222" spans="2:15" ht="30.75">
      <c r="B222" s="96" t="s">
        <v>1385</v>
      </c>
      <c r="C222" s="86" t="s">
        <v>95</v>
      </c>
      <c r="D222" s="89"/>
      <c r="E222" s="86" t="s">
        <v>1386</v>
      </c>
      <c r="F222" s="86"/>
      <c r="G222" s="86" t="s">
        <v>269</v>
      </c>
      <c r="H222" s="86"/>
      <c r="I222" s="86"/>
      <c r="J222" s="86"/>
      <c r="K222" s="86"/>
      <c r="L222" s="86"/>
      <c r="M222" s="86"/>
      <c r="N222" s="88"/>
      <c r="O222" s="10">
        <f t="shared" si="9"/>
        <v>0</v>
      </c>
    </row>
    <row r="223" spans="2:15">
      <c r="B223" s="96" t="s">
        <v>1387</v>
      </c>
      <c r="C223" s="86" t="s">
        <v>20</v>
      </c>
      <c r="D223" s="89"/>
      <c r="E223" s="86" t="s">
        <v>1388</v>
      </c>
      <c r="F223" s="86"/>
      <c r="G223" s="86" t="s">
        <v>21</v>
      </c>
      <c r="H223" s="86"/>
      <c r="I223" s="86"/>
      <c r="J223" s="86"/>
      <c r="K223" s="86"/>
      <c r="L223" s="86"/>
      <c r="M223" s="86"/>
      <c r="N223" s="88"/>
      <c r="O223" s="10">
        <f t="shared" si="9"/>
        <v>0</v>
      </c>
    </row>
    <row r="224" spans="2:15">
      <c r="B224" s="96" t="s">
        <v>2449</v>
      </c>
      <c r="C224" s="86" t="s">
        <v>20</v>
      </c>
      <c r="D224" s="89"/>
      <c r="E224" s="86" t="s">
        <v>1389</v>
      </c>
      <c r="F224" s="86"/>
      <c r="G224" s="86" t="s">
        <v>17</v>
      </c>
      <c r="H224" s="86"/>
      <c r="I224" s="86"/>
      <c r="J224" s="86"/>
      <c r="K224" s="86"/>
      <c r="L224" s="86"/>
      <c r="M224" s="86"/>
      <c r="N224" s="88"/>
      <c r="O224" s="10">
        <f t="shared" si="9"/>
        <v>0</v>
      </c>
    </row>
    <row r="225" spans="2:15">
      <c r="B225" s="96" t="s">
        <v>1390</v>
      </c>
      <c r="C225" s="86" t="s">
        <v>95</v>
      </c>
      <c r="D225" s="89"/>
      <c r="E225" s="86" t="s">
        <v>1391</v>
      </c>
      <c r="F225" s="86"/>
      <c r="G225" s="86" t="s">
        <v>143</v>
      </c>
      <c r="H225" s="86" t="s">
        <v>1392</v>
      </c>
      <c r="I225" s="86"/>
      <c r="J225" s="86"/>
      <c r="K225" s="86"/>
      <c r="L225" s="86"/>
      <c r="M225" s="86"/>
      <c r="N225" s="88"/>
      <c r="O225" s="10">
        <f t="shared" si="9"/>
        <v>0</v>
      </c>
    </row>
    <row r="226" spans="2:15">
      <c r="B226" s="96" t="s">
        <v>1393</v>
      </c>
      <c r="C226" s="86" t="s">
        <v>14</v>
      </c>
      <c r="D226" s="89"/>
      <c r="E226" s="86" t="s">
        <v>1394</v>
      </c>
      <c r="F226" s="86"/>
      <c r="G226" s="86" t="s">
        <v>21</v>
      </c>
      <c r="H226" s="86"/>
      <c r="I226" s="86"/>
      <c r="J226" s="86"/>
      <c r="K226" s="86"/>
      <c r="L226" s="86"/>
      <c r="M226" s="86"/>
      <c r="N226" s="88"/>
      <c r="O226" s="10">
        <f t="shared" si="9"/>
        <v>0</v>
      </c>
    </row>
    <row r="227" spans="2:15" ht="30.75">
      <c r="B227" s="96" t="s">
        <v>1395</v>
      </c>
      <c r="C227" s="86" t="s">
        <v>20</v>
      </c>
      <c r="D227" s="89"/>
      <c r="E227" s="86" t="s">
        <v>1396</v>
      </c>
      <c r="F227" s="86"/>
      <c r="G227" s="86" t="s">
        <v>21</v>
      </c>
      <c r="H227" s="86"/>
      <c r="I227" s="86"/>
      <c r="J227" s="86"/>
      <c r="K227" s="86"/>
      <c r="L227" s="86"/>
      <c r="M227" s="86"/>
      <c r="N227" s="88"/>
      <c r="O227" s="10">
        <f t="shared" si="9"/>
        <v>0</v>
      </c>
    </row>
    <row r="228" spans="2:15">
      <c r="B228" s="96" t="s">
        <v>1397</v>
      </c>
      <c r="C228" s="86" t="s">
        <v>20</v>
      </c>
      <c r="D228" s="89"/>
      <c r="E228" s="86" t="s">
        <v>1398</v>
      </c>
      <c r="F228" s="86"/>
      <c r="G228" s="86" t="s">
        <v>17</v>
      </c>
      <c r="H228" s="86"/>
      <c r="I228" s="86"/>
      <c r="J228" s="86"/>
      <c r="K228" s="86"/>
      <c r="L228" s="86"/>
      <c r="M228" s="86"/>
      <c r="N228" s="88"/>
      <c r="O228" s="10">
        <f t="shared" si="9"/>
        <v>0</v>
      </c>
    </row>
    <row r="229" spans="2:15" ht="30.75">
      <c r="B229" s="96" t="s">
        <v>1399</v>
      </c>
      <c r="C229" s="86" t="s">
        <v>20</v>
      </c>
      <c r="D229" s="89"/>
      <c r="E229" s="86" t="s">
        <v>1400</v>
      </c>
      <c r="F229" s="86"/>
      <c r="G229" s="86" t="s">
        <v>143</v>
      </c>
      <c r="H229" s="86"/>
      <c r="I229" s="86"/>
      <c r="J229" s="86"/>
      <c r="K229" s="86"/>
      <c r="L229" s="86"/>
      <c r="M229" s="86"/>
      <c r="N229" s="88"/>
      <c r="O229" s="10">
        <f t="shared" si="9"/>
        <v>0</v>
      </c>
    </row>
    <row r="230" spans="2:15">
      <c r="B230" s="96" t="s">
        <v>1401</v>
      </c>
      <c r="C230" s="86" t="s">
        <v>20</v>
      </c>
      <c r="D230" s="89"/>
      <c r="E230" s="86" t="s">
        <v>1402</v>
      </c>
      <c r="F230" s="86"/>
      <c r="G230" s="86" t="s">
        <v>17</v>
      </c>
      <c r="H230" s="86"/>
      <c r="I230" s="86"/>
      <c r="J230" s="86"/>
      <c r="K230" s="86"/>
      <c r="L230" s="86"/>
      <c r="M230" s="86"/>
      <c r="N230" s="88"/>
      <c r="O230" s="10">
        <f t="shared" si="9"/>
        <v>0</v>
      </c>
    </row>
    <row r="231" spans="2:15">
      <c r="B231" s="96" t="s">
        <v>1403</v>
      </c>
      <c r="C231" s="86" t="s">
        <v>20</v>
      </c>
      <c r="D231" s="89"/>
      <c r="E231" s="86" t="s">
        <v>1404</v>
      </c>
      <c r="F231" s="86"/>
      <c r="G231" s="86" t="s">
        <v>143</v>
      </c>
      <c r="H231" s="86" t="s">
        <v>1405</v>
      </c>
      <c r="I231" s="86" t="s">
        <v>1406</v>
      </c>
      <c r="J231" s="86"/>
      <c r="K231" s="86"/>
      <c r="L231" s="86"/>
      <c r="M231" s="86"/>
      <c r="N231" s="88"/>
      <c r="O231" s="10">
        <f t="shared" si="9"/>
        <v>0</v>
      </c>
    </row>
    <row r="232" spans="2:15">
      <c r="B232" s="96" t="s">
        <v>1407</v>
      </c>
      <c r="C232" s="86" t="s">
        <v>20</v>
      </c>
      <c r="D232" s="89"/>
      <c r="E232" s="86" t="s">
        <v>1408</v>
      </c>
      <c r="F232" s="86"/>
      <c r="G232" s="86" t="s">
        <v>21</v>
      </c>
      <c r="H232" s="86"/>
      <c r="I232" s="86"/>
      <c r="J232" s="86"/>
      <c r="K232" s="86"/>
      <c r="L232" s="86"/>
      <c r="M232" s="86"/>
      <c r="N232" s="88"/>
      <c r="O232" s="10">
        <f t="shared" si="9"/>
        <v>0</v>
      </c>
    </row>
    <row r="233" spans="2:15">
      <c r="B233" s="96" t="s">
        <v>1409</v>
      </c>
      <c r="C233" s="86" t="s">
        <v>20</v>
      </c>
      <c r="D233" s="89"/>
      <c r="E233" s="86" t="s">
        <v>1410</v>
      </c>
      <c r="F233" s="86"/>
      <c r="G233" s="86" t="s">
        <v>21</v>
      </c>
      <c r="H233" s="86"/>
      <c r="I233" s="86"/>
      <c r="J233" s="86"/>
      <c r="K233" s="86"/>
      <c r="L233" s="86"/>
      <c r="M233" s="86"/>
      <c r="N233" s="88"/>
      <c r="O233" s="10">
        <f t="shared" si="9"/>
        <v>0</v>
      </c>
    </row>
    <row r="234" spans="2:15">
      <c r="B234" s="96" t="s">
        <v>1411</v>
      </c>
      <c r="C234" s="86" t="s">
        <v>95</v>
      </c>
      <c r="D234" s="89"/>
      <c r="E234" s="86" t="s">
        <v>1412</v>
      </c>
      <c r="F234" s="86"/>
      <c r="G234" s="86" t="s">
        <v>269</v>
      </c>
      <c r="H234" s="86"/>
      <c r="I234" s="86"/>
      <c r="J234" s="86"/>
      <c r="K234" s="86"/>
      <c r="L234" s="86"/>
      <c r="M234" s="86"/>
      <c r="N234" s="88"/>
      <c r="O234" s="10">
        <f t="shared" si="9"/>
        <v>0</v>
      </c>
    </row>
    <row r="235" spans="2:15">
      <c r="B235" s="96" t="s">
        <v>1413</v>
      </c>
      <c r="C235" s="86" t="s">
        <v>95</v>
      </c>
      <c r="D235" s="89"/>
      <c r="E235" s="86" t="s">
        <v>1414</v>
      </c>
      <c r="F235" s="86"/>
      <c r="G235" s="86" t="s">
        <v>143</v>
      </c>
      <c r="H235" s="86"/>
      <c r="I235" s="86"/>
      <c r="J235" s="86"/>
      <c r="K235" s="86"/>
      <c r="L235" s="86"/>
      <c r="M235" s="86"/>
      <c r="N235" s="88"/>
      <c r="O235" s="10">
        <f t="shared" si="9"/>
        <v>0</v>
      </c>
    </row>
    <row r="236" spans="2:15">
      <c r="B236" s="96" t="s">
        <v>1415</v>
      </c>
      <c r="C236" s="86" t="s">
        <v>20</v>
      </c>
      <c r="D236" s="89"/>
      <c r="E236" s="86" t="s">
        <v>1416</v>
      </c>
      <c r="F236" s="86"/>
      <c r="G236" s="86" t="s">
        <v>17</v>
      </c>
      <c r="H236" s="86" t="s">
        <v>1417</v>
      </c>
      <c r="I236" s="86"/>
      <c r="J236" s="86"/>
      <c r="K236" s="86"/>
      <c r="L236" s="86"/>
      <c r="M236" s="86"/>
      <c r="N236" s="88"/>
      <c r="O236" s="10">
        <f t="shared" si="9"/>
        <v>0</v>
      </c>
    </row>
    <row r="237" spans="2:15">
      <c r="B237" s="96" t="s">
        <v>1418</v>
      </c>
      <c r="C237" s="86" t="s">
        <v>95</v>
      </c>
      <c r="D237" s="89"/>
      <c r="E237" s="86" t="s">
        <v>1419</v>
      </c>
      <c r="F237" s="86"/>
      <c r="G237" s="86" t="s">
        <v>143</v>
      </c>
      <c r="H237" s="86"/>
      <c r="I237" s="86"/>
      <c r="J237" s="86"/>
      <c r="K237" s="86"/>
      <c r="L237" s="86"/>
      <c r="M237" s="86"/>
      <c r="N237" s="88"/>
      <c r="O237" s="10">
        <f t="shared" si="9"/>
        <v>0</v>
      </c>
    </row>
    <row r="238" spans="2:15">
      <c r="B238" s="96" t="s">
        <v>1420</v>
      </c>
      <c r="C238" s="86" t="s">
        <v>95</v>
      </c>
      <c r="D238" s="89"/>
      <c r="E238" s="86"/>
      <c r="F238" s="86"/>
      <c r="G238" s="86" t="s">
        <v>21</v>
      </c>
      <c r="H238" s="86"/>
      <c r="I238" s="86"/>
      <c r="J238" s="86"/>
      <c r="K238" s="86"/>
      <c r="L238" s="86"/>
      <c r="M238" s="86"/>
      <c r="N238" s="88"/>
      <c r="O238" s="10">
        <f t="shared" si="9"/>
        <v>0</v>
      </c>
    </row>
    <row r="239" spans="2:15">
      <c r="B239" s="96" t="s">
        <v>1421</v>
      </c>
      <c r="C239" s="86" t="s">
        <v>20</v>
      </c>
      <c r="D239" s="89"/>
      <c r="E239" s="86" t="s">
        <v>1422</v>
      </c>
      <c r="F239" s="86"/>
      <c r="G239" s="86" t="s">
        <v>143</v>
      </c>
      <c r="H239" s="86"/>
      <c r="I239" s="86"/>
      <c r="J239" s="86"/>
      <c r="K239" s="86"/>
      <c r="L239" s="86"/>
      <c r="M239" s="86"/>
      <c r="N239" s="88"/>
      <c r="O239" s="10">
        <f t="shared" si="9"/>
        <v>0</v>
      </c>
    </row>
    <row r="240" spans="2:15">
      <c r="B240" s="96" t="s">
        <v>1423</v>
      </c>
      <c r="C240" s="86" t="s">
        <v>14</v>
      </c>
      <c r="D240" s="89"/>
      <c r="E240" s="86" t="s">
        <v>1424</v>
      </c>
      <c r="F240" s="86"/>
      <c r="G240" s="86" t="s">
        <v>16</v>
      </c>
      <c r="H240" s="86" t="s">
        <v>1425</v>
      </c>
      <c r="I240" s="86">
        <v>216</v>
      </c>
      <c r="J240" s="86"/>
      <c r="K240" s="86"/>
      <c r="L240" s="86"/>
      <c r="M240" s="86"/>
      <c r="N240" s="88"/>
      <c r="O240" s="10">
        <f t="shared" si="9"/>
        <v>0</v>
      </c>
    </row>
    <row r="241" spans="2:15">
      <c r="B241" s="96" t="s">
        <v>1644</v>
      </c>
      <c r="C241" s="86" t="s">
        <v>2161</v>
      </c>
      <c r="D241" s="86">
        <v>1</v>
      </c>
      <c r="E241" s="86" t="s">
        <v>1645</v>
      </c>
      <c r="F241" s="86">
        <v>0.75</v>
      </c>
      <c r="G241" s="86" t="s">
        <v>17</v>
      </c>
      <c r="H241" s="86"/>
      <c r="I241" s="86"/>
      <c r="J241" s="86"/>
      <c r="K241" s="86"/>
      <c r="L241" s="88"/>
      <c r="M241" s="88"/>
      <c r="N241" s="89"/>
      <c r="O241" s="10">
        <f t="shared" si="9"/>
        <v>0</v>
      </c>
    </row>
    <row r="242" spans="2:15">
      <c r="B242" s="96" t="s">
        <v>1426</v>
      </c>
      <c r="C242" s="86" t="s">
        <v>20</v>
      </c>
      <c r="D242" s="89"/>
      <c r="E242" s="86" t="s">
        <v>1427</v>
      </c>
      <c r="F242" s="86">
        <v>0.5</v>
      </c>
      <c r="G242" s="86" t="s">
        <v>21</v>
      </c>
      <c r="H242" s="86"/>
      <c r="I242" s="86"/>
      <c r="J242" s="86"/>
      <c r="K242" s="86"/>
      <c r="L242" s="86"/>
      <c r="M242" s="86"/>
      <c r="N242" s="88"/>
      <c r="O242" s="10">
        <f t="shared" si="9"/>
        <v>0</v>
      </c>
    </row>
    <row r="243" spans="2:15">
      <c r="B243" s="96" t="s">
        <v>1428</v>
      </c>
      <c r="C243" s="86" t="s">
        <v>20</v>
      </c>
      <c r="D243" s="89"/>
      <c r="E243" s="86" t="s">
        <v>1429</v>
      </c>
      <c r="F243" s="86"/>
      <c r="G243" s="86" t="s">
        <v>269</v>
      </c>
      <c r="H243" s="86" t="s">
        <v>1430</v>
      </c>
      <c r="I243" s="86"/>
      <c r="J243" s="86"/>
      <c r="K243" s="86"/>
      <c r="L243" s="86"/>
      <c r="M243" s="86"/>
      <c r="N243" s="88"/>
      <c r="O243" s="10">
        <f t="shared" si="9"/>
        <v>0</v>
      </c>
    </row>
    <row r="244" spans="2:15">
      <c r="B244" s="96" t="s">
        <v>1431</v>
      </c>
      <c r="C244" s="86" t="s">
        <v>20</v>
      </c>
      <c r="D244" s="89"/>
      <c r="E244" s="86" t="s">
        <v>1432</v>
      </c>
      <c r="F244" s="86"/>
      <c r="G244" s="86" t="s">
        <v>143</v>
      </c>
      <c r="H244" s="86"/>
      <c r="I244" s="86"/>
      <c r="J244" s="86"/>
      <c r="K244" s="86"/>
      <c r="L244" s="86"/>
      <c r="M244" s="86"/>
      <c r="N244" s="88"/>
      <c r="O244" s="10">
        <f t="shared" si="9"/>
        <v>0</v>
      </c>
    </row>
    <row r="245" spans="2:15">
      <c r="B245" s="96" t="s">
        <v>1433</v>
      </c>
      <c r="C245" s="86" t="s">
        <v>20</v>
      </c>
      <c r="D245" s="89"/>
      <c r="E245" s="86" t="s">
        <v>1434</v>
      </c>
      <c r="F245" s="86"/>
      <c r="G245" s="86" t="s">
        <v>143</v>
      </c>
      <c r="H245" s="86"/>
      <c r="I245" s="86"/>
      <c r="J245" s="86"/>
      <c r="K245" s="86"/>
      <c r="L245" s="86"/>
      <c r="M245" s="86"/>
      <c r="N245" s="88"/>
      <c r="O245" s="10">
        <f t="shared" si="9"/>
        <v>0</v>
      </c>
    </row>
    <row r="246" spans="2:15">
      <c r="B246" s="96" t="s">
        <v>1435</v>
      </c>
      <c r="C246" s="86" t="s">
        <v>20</v>
      </c>
      <c r="D246" s="89"/>
      <c r="E246" s="86" t="s">
        <v>1436</v>
      </c>
      <c r="F246" s="86"/>
      <c r="G246" s="86" t="s">
        <v>1437</v>
      </c>
      <c r="H246" s="86"/>
      <c r="I246" s="86"/>
      <c r="J246" s="86"/>
      <c r="K246" s="86"/>
      <c r="L246" s="86"/>
      <c r="M246" s="86"/>
      <c r="N246" s="88"/>
      <c r="O246" s="10">
        <f t="shared" si="9"/>
        <v>0</v>
      </c>
    </row>
    <row r="247" spans="2:15">
      <c r="B247" s="96" t="s">
        <v>1438</v>
      </c>
      <c r="C247" s="86" t="s">
        <v>14</v>
      </c>
      <c r="D247" s="89"/>
      <c r="E247" s="86" t="s">
        <v>1439</v>
      </c>
      <c r="F247" s="86"/>
      <c r="G247" s="86" t="s">
        <v>21</v>
      </c>
      <c r="H247" s="86"/>
      <c r="I247" s="86"/>
      <c r="J247" s="86"/>
      <c r="K247" s="86"/>
      <c r="L247" s="86"/>
      <c r="M247" s="86"/>
      <c r="N247" s="88"/>
      <c r="O247" s="10">
        <f t="shared" si="9"/>
        <v>0</v>
      </c>
    </row>
    <row r="248" spans="2:15">
      <c r="B248" s="96" t="s">
        <v>1440</v>
      </c>
      <c r="C248" s="86" t="s">
        <v>20</v>
      </c>
      <c r="D248" s="89"/>
      <c r="E248" s="86" t="s">
        <v>1441</v>
      </c>
      <c r="F248" s="86"/>
      <c r="G248" s="86" t="s">
        <v>17</v>
      </c>
      <c r="H248" s="86"/>
      <c r="I248" s="86"/>
      <c r="J248" s="86"/>
      <c r="K248" s="86"/>
      <c r="L248" s="86"/>
      <c r="M248" s="86"/>
      <c r="N248" s="88"/>
      <c r="O248" s="10">
        <f t="shared" si="9"/>
        <v>0</v>
      </c>
    </row>
    <row r="249" spans="2:15">
      <c r="B249" s="96" t="s">
        <v>1442</v>
      </c>
      <c r="C249" s="86" t="s">
        <v>20</v>
      </c>
      <c r="D249" s="89"/>
      <c r="E249" s="86" t="s">
        <v>1443</v>
      </c>
      <c r="F249" s="86"/>
      <c r="G249" s="86" t="s">
        <v>143</v>
      </c>
      <c r="H249" s="86"/>
      <c r="I249" s="86"/>
      <c r="J249" s="86"/>
      <c r="K249" s="86"/>
      <c r="L249" s="86"/>
      <c r="M249" s="86"/>
      <c r="N249" s="88"/>
      <c r="O249" s="10">
        <f t="shared" si="9"/>
        <v>0</v>
      </c>
    </row>
    <row r="250" spans="2:15">
      <c r="B250" s="96" t="s">
        <v>1447</v>
      </c>
      <c r="C250" s="86" t="s">
        <v>20</v>
      </c>
      <c r="D250" s="89"/>
      <c r="E250" s="86" t="s">
        <v>1448</v>
      </c>
      <c r="F250" s="86"/>
      <c r="G250" s="86" t="s">
        <v>21</v>
      </c>
      <c r="H250" s="86"/>
      <c r="I250" s="86"/>
      <c r="J250" s="86"/>
      <c r="K250" s="86"/>
      <c r="L250" s="86"/>
      <c r="M250" s="86"/>
      <c r="N250" s="88"/>
      <c r="O250" s="10">
        <f t="shared" si="9"/>
        <v>0</v>
      </c>
    </row>
    <row r="251" spans="2:15">
      <c r="B251" s="96" t="s">
        <v>1449</v>
      </c>
      <c r="C251" s="86" t="s">
        <v>20</v>
      </c>
      <c r="D251" s="89"/>
      <c r="E251" s="86" t="s">
        <v>1450</v>
      </c>
      <c r="F251" s="86"/>
      <c r="G251" s="86" t="s">
        <v>17</v>
      </c>
      <c r="H251" s="86"/>
      <c r="I251" s="86"/>
      <c r="J251" s="86"/>
      <c r="K251" s="86"/>
      <c r="L251" s="86"/>
      <c r="M251" s="86"/>
      <c r="N251" s="88"/>
      <c r="O251" s="10">
        <f t="shared" si="9"/>
        <v>0</v>
      </c>
    </row>
    <row r="252" spans="2:15">
      <c r="B252" s="96" t="s">
        <v>1451</v>
      </c>
      <c r="C252" s="86" t="s">
        <v>14</v>
      </c>
      <c r="D252" s="89"/>
      <c r="E252" s="86" t="s">
        <v>1452</v>
      </c>
      <c r="F252" s="86"/>
      <c r="G252" s="86" t="s">
        <v>143</v>
      </c>
      <c r="H252" s="86"/>
      <c r="I252" s="86"/>
      <c r="J252" s="86"/>
      <c r="K252" s="86"/>
      <c r="L252" s="86"/>
      <c r="M252" s="86"/>
      <c r="N252" s="88"/>
      <c r="O252" s="10">
        <f t="shared" si="9"/>
        <v>0</v>
      </c>
    </row>
    <row r="253" spans="2:15">
      <c r="B253" s="96" t="s">
        <v>1453</v>
      </c>
      <c r="C253" s="86" t="s">
        <v>20</v>
      </c>
      <c r="D253" s="89"/>
      <c r="E253" s="86" t="s">
        <v>1454</v>
      </c>
      <c r="F253" s="86"/>
      <c r="G253" s="86" t="s">
        <v>46</v>
      </c>
      <c r="H253" s="86" t="s">
        <v>1455</v>
      </c>
      <c r="I253" s="86"/>
      <c r="J253" s="86"/>
      <c r="K253" s="86"/>
      <c r="L253" s="86"/>
      <c r="M253" s="86"/>
      <c r="N253" s="88"/>
      <c r="O253" s="10">
        <f t="shared" si="9"/>
        <v>0</v>
      </c>
    </row>
    <row r="254" spans="2:15" ht="30.75">
      <c r="B254" s="96" t="s">
        <v>1456</v>
      </c>
      <c r="C254" s="86" t="s">
        <v>20</v>
      </c>
      <c r="D254" s="89"/>
      <c r="E254" s="86" t="s">
        <v>1457</v>
      </c>
      <c r="F254" s="86"/>
      <c r="G254" s="86" t="s">
        <v>59</v>
      </c>
      <c r="H254" s="86"/>
      <c r="I254" s="86"/>
      <c r="J254" s="86"/>
      <c r="K254" s="86"/>
      <c r="L254" s="86"/>
      <c r="M254" s="86"/>
      <c r="N254" s="88"/>
      <c r="O254" s="10">
        <f t="shared" si="9"/>
        <v>0</v>
      </c>
    </row>
    <row r="255" spans="2:15">
      <c r="B255" s="96" t="s">
        <v>1458</v>
      </c>
      <c r="C255" s="86" t="s">
        <v>95</v>
      </c>
      <c r="D255" s="89"/>
      <c r="E255" s="86" t="s">
        <v>1459</v>
      </c>
      <c r="F255" s="86">
        <v>0.25</v>
      </c>
      <c r="G255" s="86" t="s">
        <v>143</v>
      </c>
      <c r="H255" s="89" t="s">
        <v>1460</v>
      </c>
      <c r="I255" s="86" t="s">
        <v>1461</v>
      </c>
      <c r="J255" s="86"/>
      <c r="K255" s="86"/>
      <c r="L255" s="86"/>
      <c r="M255" s="86"/>
      <c r="N255" s="88">
        <v>189</v>
      </c>
      <c r="O255" s="10">
        <f t="shared" si="9"/>
        <v>47.25</v>
      </c>
    </row>
    <row r="256" spans="2:15">
      <c r="B256" s="96" t="s">
        <v>1464</v>
      </c>
      <c r="C256" s="86" t="s">
        <v>20</v>
      </c>
      <c r="D256" s="89"/>
      <c r="E256" s="86" t="s">
        <v>1465</v>
      </c>
      <c r="F256" s="86"/>
      <c r="G256" s="86" t="s">
        <v>143</v>
      </c>
      <c r="H256" s="86"/>
      <c r="I256" s="86"/>
      <c r="J256" s="86"/>
      <c r="K256" s="86"/>
      <c r="L256" s="86"/>
      <c r="M256" s="86"/>
      <c r="N256" s="88"/>
      <c r="O256" s="10">
        <f t="shared" si="9"/>
        <v>0</v>
      </c>
    </row>
    <row r="257" spans="2:15">
      <c r="B257" s="96" t="s">
        <v>1466</v>
      </c>
      <c r="C257" s="86" t="s">
        <v>20</v>
      </c>
      <c r="D257" s="89"/>
      <c r="E257" s="86" t="s">
        <v>1467</v>
      </c>
      <c r="F257" s="86"/>
      <c r="G257" s="86" t="s">
        <v>17</v>
      </c>
      <c r="H257" s="86"/>
      <c r="I257" s="86"/>
      <c r="J257" s="86"/>
      <c r="K257" s="86"/>
      <c r="L257" s="86"/>
      <c r="M257" s="86"/>
      <c r="N257" s="88"/>
      <c r="O257" s="10">
        <f t="shared" si="9"/>
        <v>0</v>
      </c>
    </row>
    <row r="258" spans="2:15" ht="30.75">
      <c r="B258" s="96" t="s">
        <v>1468</v>
      </c>
      <c r="C258" s="86" t="s">
        <v>20</v>
      </c>
      <c r="D258" s="89"/>
      <c r="E258" s="86" t="s">
        <v>1469</v>
      </c>
      <c r="F258" s="86"/>
      <c r="G258" s="86" t="s">
        <v>59</v>
      </c>
      <c r="H258" s="86"/>
      <c r="I258" s="86"/>
      <c r="J258" s="86"/>
      <c r="K258" s="86"/>
      <c r="L258" s="86"/>
      <c r="M258" s="86"/>
      <c r="N258" s="88"/>
      <c r="O258" s="10">
        <f t="shared" ref="O258:O318" si="10">F258*N258</f>
        <v>0</v>
      </c>
    </row>
    <row r="259" spans="2:15">
      <c r="B259" s="96" t="s">
        <v>1470</v>
      </c>
      <c r="C259" s="86" t="s">
        <v>20</v>
      </c>
      <c r="D259" s="89"/>
      <c r="E259" s="86" t="s">
        <v>1471</v>
      </c>
      <c r="F259" s="86"/>
      <c r="G259" s="86" t="s">
        <v>143</v>
      </c>
      <c r="H259" s="86"/>
      <c r="I259" s="86"/>
      <c r="J259" s="86"/>
      <c r="K259" s="86"/>
      <c r="L259" s="86"/>
      <c r="M259" s="86"/>
      <c r="N259" s="88"/>
      <c r="O259" s="10">
        <f t="shared" si="10"/>
        <v>0</v>
      </c>
    </row>
    <row r="260" spans="2:15">
      <c r="B260" s="96" t="s">
        <v>1472</v>
      </c>
      <c r="C260" s="86" t="s">
        <v>20</v>
      </c>
      <c r="D260" s="89"/>
      <c r="E260" s="86" t="s">
        <v>1473</v>
      </c>
      <c r="F260" s="86"/>
      <c r="G260" s="86" t="s">
        <v>143</v>
      </c>
      <c r="H260" s="86"/>
      <c r="I260" s="86"/>
      <c r="J260" s="86"/>
      <c r="K260" s="86"/>
      <c r="L260" s="86"/>
      <c r="M260" s="86"/>
      <c r="N260" s="88"/>
      <c r="O260" s="10">
        <f t="shared" si="10"/>
        <v>0</v>
      </c>
    </row>
    <row r="261" spans="2:15">
      <c r="B261" s="96" t="s">
        <v>1474</v>
      </c>
      <c r="C261" s="86" t="s">
        <v>20</v>
      </c>
      <c r="D261" s="89"/>
      <c r="E261" s="86" t="s">
        <v>1475</v>
      </c>
      <c r="F261" s="86"/>
      <c r="G261" s="86" t="s">
        <v>21</v>
      </c>
      <c r="H261" s="86"/>
      <c r="I261" s="86"/>
      <c r="J261" s="86"/>
      <c r="K261" s="86"/>
      <c r="L261" s="86"/>
      <c r="M261" s="86"/>
      <c r="N261" s="88"/>
      <c r="O261" s="10">
        <f t="shared" si="10"/>
        <v>0</v>
      </c>
    </row>
    <row r="262" spans="2:15">
      <c r="B262" s="96" t="s">
        <v>1476</v>
      </c>
      <c r="C262" s="86" t="s">
        <v>95</v>
      </c>
      <c r="D262" s="89"/>
      <c r="E262" s="86" t="s">
        <v>1477</v>
      </c>
      <c r="F262" s="86"/>
      <c r="G262" s="86" t="s">
        <v>143</v>
      </c>
      <c r="H262" s="86"/>
      <c r="I262" s="86"/>
      <c r="J262" s="86"/>
      <c r="K262" s="86"/>
      <c r="L262" s="86"/>
      <c r="M262" s="86"/>
      <c r="N262" s="88"/>
      <c r="O262" s="10">
        <f t="shared" si="10"/>
        <v>0</v>
      </c>
    </row>
    <row r="263" spans="2:15">
      <c r="B263" s="96" t="s">
        <v>1478</v>
      </c>
      <c r="C263" s="86" t="s">
        <v>95</v>
      </c>
      <c r="D263" s="89"/>
      <c r="E263" s="86" t="s">
        <v>1479</v>
      </c>
      <c r="F263" s="86"/>
      <c r="G263" s="86" t="s">
        <v>17</v>
      </c>
      <c r="H263" s="86"/>
      <c r="I263" s="86"/>
      <c r="J263" s="86"/>
      <c r="K263" s="86"/>
      <c r="L263" s="86"/>
      <c r="M263" s="86"/>
      <c r="N263" s="88"/>
      <c r="O263" s="10">
        <f t="shared" si="10"/>
        <v>0</v>
      </c>
    </row>
    <row r="264" spans="2:15" ht="30.75">
      <c r="B264" s="96" t="s">
        <v>1493</v>
      </c>
      <c r="C264" s="86" t="s">
        <v>14</v>
      </c>
      <c r="D264" s="89"/>
      <c r="E264" s="86" t="s">
        <v>2193</v>
      </c>
      <c r="F264" s="86"/>
      <c r="G264" s="86" t="s">
        <v>46</v>
      </c>
      <c r="H264" s="86"/>
      <c r="I264" s="86"/>
      <c r="J264" s="86"/>
      <c r="K264" s="86"/>
      <c r="L264" s="86"/>
      <c r="M264" s="86"/>
      <c r="N264" s="88"/>
      <c r="O264" s="10">
        <f t="shared" si="10"/>
        <v>0</v>
      </c>
    </row>
    <row r="265" spans="2:15">
      <c r="B265" s="96" t="s">
        <v>1494</v>
      </c>
      <c r="C265" s="86" t="s">
        <v>20</v>
      </c>
      <c r="D265" s="89"/>
      <c r="E265" s="86" t="s">
        <v>1495</v>
      </c>
      <c r="F265" s="86"/>
      <c r="G265" s="86" t="s">
        <v>21</v>
      </c>
      <c r="H265" s="86"/>
      <c r="I265" s="86"/>
      <c r="J265" s="86"/>
      <c r="K265" s="86"/>
      <c r="L265" s="86"/>
      <c r="M265" s="86"/>
      <c r="N265" s="88"/>
      <c r="O265" s="10">
        <f t="shared" si="10"/>
        <v>0</v>
      </c>
    </row>
    <row r="266" spans="2:15">
      <c r="B266" s="96" t="s">
        <v>1496</v>
      </c>
      <c r="C266" s="86" t="s">
        <v>95</v>
      </c>
      <c r="D266" s="89"/>
      <c r="E266" s="86" t="s">
        <v>1497</v>
      </c>
      <c r="F266" s="86"/>
      <c r="G266" s="86" t="s">
        <v>21</v>
      </c>
      <c r="H266" s="86"/>
      <c r="I266" s="86"/>
      <c r="J266" s="86"/>
      <c r="K266" s="86"/>
      <c r="L266" s="86"/>
      <c r="M266" s="86"/>
      <c r="N266" s="88"/>
      <c r="O266" s="10">
        <f t="shared" si="10"/>
        <v>0</v>
      </c>
    </row>
    <row r="267" spans="2:15">
      <c r="B267" s="96" t="s">
        <v>1498</v>
      </c>
      <c r="C267" s="86" t="s">
        <v>14</v>
      </c>
      <c r="D267" s="89"/>
      <c r="E267" s="86" t="s">
        <v>1499</v>
      </c>
      <c r="F267" s="86"/>
      <c r="G267" s="86" t="s">
        <v>17</v>
      </c>
      <c r="H267" s="86" t="s">
        <v>1500</v>
      </c>
      <c r="I267" s="86"/>
      <c r="J267" s="86"/>
      <c r="K267" s="86"/>
      <c r="L267" s="86"/>
      <c r="M267" s="86"/>
      <c r="N267" s="88"/>
      <c r="O267" s="10">
        <f t="shared" si="10"/>
        <v>0</v>
      </c>
    </row>
    <row r="268" spans="2:15">
      <c r="B268" s="96" t="s">
        <v>1503</v>
      </c>
      <c r="C268" s="86" t="s">
        <v>20</v>
      </c>
      <c r="D268" s="89"/>
      <c r="E268" s="86" t="s">
        <v>1504</v>
      </c>
      <c r="F268" s="86"/>
      <c r="G268" s="86" t="s">
        <v>46</v>
      </c>
      <c r="H268" s="86" t="s">
        <v>1505</v>
      </c>
      <c r="I268" s="86"/>
      <c r="J268" s="86"/>
      <c r="K268" s="86"/>
      <c r="L268" s="86"/>
      <c r="M268" s="86"/>
      <c r="N268" s="88"/>
      <c r="O268" s="10">
        <f t="shared" si="10"/>
        <v>0</v>
      </c>
    </row>
    <row r="269" spans="2:15">
      <c r="B269" s="96" t="s">
        <v>1506</v>
      </c>
      <c r="C269" s="86" t="s">
        <v>14</v>
      </c>
      <c r="D269" s="89"/>
      <c r="E269" s="86" t="s">
        <v>1507</v>
      </c>
      <c r="F269" s="86"/>
      <c r="G269" s="86" t="s">
        <v>269</v>
      </c>
      <c r="H269" s="86" t="s">
        <v>1508</v>
      </c>
      <c r="I269" s="86"/>
      <c r="J269" s="86"/>
      <c r="K269" s="86"/>
      <c r="L269" s="86"/>
      <c r="M269" s="86"/>
      <c r="N269" s="88"/>
      <c r="O269" s="10">
        <f t="shared" si="10"/>
        <v>0</v>
      </c>
    </row>
    <row r="270" spans="2:15" ht="45.75">
      <c r="B270" s="96" t="s">
        <v>1509</v>
      </c>
      <c r="C270" s="86" t="s">
        <v>14</v>
      </c>
      <c r="D270" s="89"/>
      <c r="E270" s="86" t="s">
        <v>1510</v>
      </c>
      <c r="F270" s="86"/>
      <c r="G270" s="86" t="s">
        <v>16</v>
      </c>
      <c r="H270" s="86" t="s">
        <v>1511</v>
      </c>
      <c r="I270" s="86"/>
      <c r="J270" s="86"/>
      <c r="K270" s="86"/>
      <c r="L270" s="86">
        <v>6</v>
      </c>
      <c r="M270" s="86">
        <v>3</v>
      </c>
      <c r="N270" s="88"/>
      <c r="O270" s="10">
        <f t="shared" si="10"/>
        <v>0</v>
      </c>
    </row>
    <row r="271" spans="2:15" ht="30.75">
      <c r="B271" s="96" t="s">
        <v>1512</v>
      </c>
      <c r="C271" s="86" t="s">
        <v>95</v>
      </c>
      <c r="D271" s="89"/>
      <c r="E271" s="86" t="s">
        <v>1513</v>
      </c>
      <c r="F271" s="86"/>
      <c r="G271" s="86" t="s">
        <v>143</v>
      </c>
      <c r="H271" s="86"/>
      <c r="I271" s="86"/>
      <c r="J271" s="86"/>
      <c r="K271" s="86"/>
      <c r="L271" s="86"/>
      <c r="M271" s="86"/>
      <c r="N271" s="88"/>
      <c r="O271" s="10">
        <f t="shared" si="10"/>
        <v>0</v>
      </c>
    </row>
    <row r="272" spans="2:15">
      <c r="B272" s="96" t="s">
        <v>1514</v>
      </c>
      <c r="C272" s="86" t="s">
        <v>95</v>
      </c>
      <c r="D272" s="89"/>
      <c r="E272" s="86" t="s">
        <v>1515</v>
      </c>
      <c r="F272" s="86"/>
      <c r="G272" s="86" t="s">
        <v>143</v>
      </c>
      <c r="H272" s="86"/>
      <c r="I272" s="86"/>
      <c r="J272" s="86"/>
      <c r="K272" s="86"/>
      <c r="L272" s="86"/>
      <c r="M272" s="86"/>
      <c r="N272" s="88"/>
      <c r="O272" s="10">
        <f t="shared" si="10"/>
        <v>0</v>
      </c>
    </row>
    <row r="273" spans="2:15">
      <c r="B273" s="96" t="s">
        <v>1518</v>
      </c>
      <c r="C273" s="86" t="s">
        <v>20</v>
      </c>
      <c r="D273" s="89"/>
      <c r="E273" s="86" t="s">
        <v>1519</v>
      </c>
      <c r="F273" s="86"/>
      <c r="G273" s="86" t="s">
        <v>21</v>
      </c>
      <c r="H273" s="86"/>
      <c r="I273" s="86"/>
      <c r="J273" s="86"/>
      <c r="K273" s="86"/>
      <c r="L273" s="86"/>
      <c r="M273" s="86"/>
      <c r="N273" s="88"/>
      <c r="O273" s="10">
        <f t="shared" si="10"/>
        <v>0</v>
      </c>
    </row>
    <row r="274" spans="2:15" ht="19.5" customHeight="1">
      <c r="B274" s="96" t="s">
        <v>1520</v>
      </c>
      <c r="C274" s="86" t="s">
        <v>20</v>
      </c>
      <c r="D274" s="89"/>
      <c r="E274" s="86" t="s">
        <v>1521</v>
      </c>
      <c r="F274" s="86"/>
      <c r="G274" s="86" t="s">
        <v>17</v>
      </c>
      <c r="H274" s="86"/>
      <c r="I274" s="86"/>
      <c r="J274" s="86"/>
      <c r="K274" s="86"/>
      <c r="L274" s="86" t="s">
        <v>1522</v>
      </c>
      <c r="M274" s="86"/>
      <c r="N274" s="88"/>
      <c r="O274" s="10">
        <f t="shared" si="10"/>
        <v>0</v>
      </c>
    </row>
    <row r="275" spans="2:15">
      <c r="B275" s="96" t="s">
        <v>777</v>
      </c>
      <c r="C275" s="86" t="s">
        <v>204</v>
      </c>
      <c r="D275" s="89"/>
      <c r="E275" s="86" t="s">
        <v>1523</v>
      </c>
      <c r="F275" s="86"/>
      <c r="G275" s="86" t="s">
        <v>17</v>
      </c>
      <c r="H275" s="86"/>
      <c r="I275" s="86"/>
      <c r="J275" s="86"/>
      <c r="K275" s="86"/>
      <c r="L275" s="86"/>
      <c r="M275" s="86"/>
      <c r="N275" s="88"/>
      <c r="O275" s="10">
        <f t="shared" si="10"/>
        <v>0</v>
      </c>
    </row>
    <row r="276" spans="2:15">
      <c r="B276" s="96" t="s">
        <v>1524</v>
      </c>
      <c r="C276" s="86" t="s">
        <v>14</v>
      </c>
      <c r="D276" s="89"/>
      <c r="E276" s="86" t="s">
        <v>1525</v>
      </c>
      <c r="F276" s="86"/>
      <c r="G276" s="86" t="s">
        <v>21</v>
      </c>
      <c r="H276" s="86"/>
      <c r="I276" s="86"/>
      <c r="J276" s="86"/>
      <c r="K276" s="86"/>
      <c r="L276" s="86"/>
      <c r="M276" s="86"/>
      <c r="N276" s="88"/>
      <c r="O276" s="10">
        <f t="shared" si="10"/>
        <v>0</v>
      </c>
    </row>
    <row r="277" spans="2:15">
      <c r="B277" s="96" t="s">
        <v>1526</v>
      </c>
      <c r="C277" s="86" t="s">
        <v>20</v>
      </c>
      <c r="D277" s="89"/>
      <c r="E277" s="86" t="s">
        <v>1527</v>
      </c>
      <c r="F277" s="86"/>
      <c r="G277" s="86" t="s">
        <v>17</v>
      </c>
      <c r="H277" s="86"/>
      <c r="I277" s="86"/>
      <c r="J277" s="86"/>
      <c r="K277" s="86"/>
      <c r="L277" s="86"/>
      <c r="M277" s="86"/>
      <c r="N277" s="88"/>
      <c r="O277" s="10">
        <f t="shared" si="10"/>
        <v>0</v>
      </c>
    </row>
    <row r="278" spans="2:15" ht="30.75">
      <c r="B278" s="96" t="s">
        <v>1528</v>
      </c>
      <c r="C278" s="86" t="s">
        <v>20</v>
      </c>
      <c r="D278" s="89"/>
      <c r="E278" s="86" t="s">
        <v>1529</v>
      </c>
      <c r="F278" s="86"/>
      <c r="G278" s="86" t="s">
        <v>46</v>
      </c>
      <c r="H278" s="86"/>
      <c r="I278" s="86"/>
      <c r="J278" s="86"/>
      <c r="K278" s="86"/>
      <c r="L278" s="86" t="s">
        <v>1530</v>
      </c>
      <c r="M278" s="86"/>
      <c r="N278" s="88"/>
      <c r="O278" s="10">
        <f t="shared" si="10"/>
        <v>0</v>
      </c>
    </row>
    <row r="279" spans="2:15">
      <c r="B279" s="96" t="s">
        <v>1531</v>
      </c>
      <c r="C279" s="86" t="s">
        <v>20</v>
      </c>
      <c r="D279" s="89"/>
      <c r="E279" s="86" t="s">
        <v>1532</v>
      </c>
      <c r="F279" s="86"/>
      <c r="G279" s="86" t="s">
        <v>59</v>
      </c>
      <c r="H279" s="86"/>
      <c r="I279" s="86"/>
      <c r="J279" s="86"/>
      <c r="K279" s="86"/>
      <c r="L279" s="86"/>
      <c r="M279" s="86"/>
      <c r="N279" s="88"/>
      <c r="O279" s="10">
        <f t="shared" si="10"/>
        <v>0</v>
      </c>
    </row>
    <row r="280" spans="2:15">
      <c r="B280" s="96" t="s">
        <v>318</v>
      </c>
      <c r="C280" s="86" t="s">
        <v>20</v>
      </c>
      <c r="D280" s="89"/>
      <c r="E280" s="86" t="s">
        <v>1533</v>
      </c>
      <c r="F280" s="86"/>
      <c r="G280" s="86" t="s">
        <v>17</v>
      </c>
      <c r="H280" s="86"/>
      <c r="I280" s="86"/>
      <c r="J280" s="86"/>
      <c r="K280" s="86"/>
      <c r="L280" s="86"/>
      <c r="M280" s="86"/>
      <c r="N280" s="88"/>
      <c r="O280" s="10">
        <f t="shared" si="10"/>
        <v>0</v>
      </c>
    </row>
    <row r="281" spans="2:15">
      <c r="B281" s="96" t="s">
        <v>318</v>
      </c>
      <c r="C281" s="86" t="s">
        <v>20</v>
      </c>
      <c r="D281" s="89"/>
      <c r="E281" s="86" t="s">
        <v>1534</v>
      </c>
      <c r="F281" s="86"/>
      <c r="G281" s="86" t="s">
        <v>17</v>
      </c>
      <c r="H281" s="86"/>
      <c r="I281" s="86"/>
      <c r="J281" s="86"/>
      <c r="K281" s="86"/>
      <c r="L281" s="86"/>
      <c r="M281" s="86"/>
      <c r="N281" s="88"/>
      <c r="O281" s="10">
        <f t="shared" si="10"/>
        <v>0</v>
      </c>
    </row>
    <row r="282" spans="2:15">
      <c r="B282" s="96" t="s">
        <v>318</v>
      </c>
      <c r="C282" s="86" t="s">
        <v>20</v>
      </c>
      <c r="D282" s="89"/>
      <c r="E282" s="86" t="s">
        <v>1535</v>
      </c>
      <c r="F282" s="86"/>
      <c r="G282" s="86" t="s">
        <v>17</v>
      </c>
      <c r="H282" s="86"/>
      <c r="I282" s="86"/>
      <c r="J282" s="86"/>
      <c r="K282" s="86"/>
      <c r="L282" s="86"/>
      <c r="M282" s="86"/>
      <c r="N282" s="88"/>
      <c r="O282" s="10">
        <f t="shared" si="10"/>
        <v>0</v>
      </c>
    </row>
    <row r="283" spans="2:15">
      <c r="B283" s="96" t="s">
        <v>318</v>
      </c>
      <c r="C283" s="86" t="s">
        <v>20</v>
      </c>
      <c r="D283" s="89"/>
      <c r="E283" s="86" t="s">
        <v>1536</v>
      </c>
      <c r="F283" s="86"/>
      <c r="G283" s="86" t="s">
        <v>17</v>
      </c>
      <c r="H283" s="86"/>
      <c r="I283" s="86"/>
      <c r="J283" s="86"/>
      <c r="K283" s="86"/>
      <c r="L283" s="86"/>
      <c r="M283" s="86"/>
      <c r="N283" s="88"/>
      <c r="O283" s="10">
        <f t="shared" si="10"/>
        <v>0</v>
      </c>
    </row>
    <row r="284" spans="2:15" ht="30.75">
      <c r="B284" s="96" t="s">
        <v>1537</v>
      </c>
      <c r="C284" s="86" t="s">
        <v>204</v>
      </c>
      <c r="D284" s="89"/>
      <c r="E284" s="86" t="s">
        <v>1538</v>
      </c>
      <c r="F284" s="86">
        <v>0.5</v>
      </c>
      <c r="G284" s="86" t="s">
        <v>21</v>
      </c>
      <c r="H284" s="86" t="s">
        <v>1539</v>
      </c>
      <c r="I284" s="86" t="s">
        <v>1540</v>
      </c>
      <c r="J284" s="86"/>
      <c r="K284" s="86"/>
      <c r="L284" s="86"/>
      <c r="M284" s="86"/>
      <c r="N284" s="88">
        <v>503.88</v>
      </c>
      <c r="O284" s="10">
        <f t="shared" si="10"/>
        <v>251.94</v>
      </c>
    </row>
    <row r="285" spans="2:15" ht="30.75">
      <c r="B285" s="96" t="s">
        <v>1541</v>
      </c>
      <c r="C285" s="86" t="s">
        <v>20</v>
      </c>
      <c r="D285" s="89"/>
      <c r="E285" s="86" t="s">
        <v>1542</v>
      </c>
      <c r="F285" s="86"/>
      <c r="G285" s="86" t="s">
        <v>143</v>
      </c>
      <c r="H285" s="86"/>
      <c r="I285" s="86"/>
      <c r="J285" s="86"/>
      <c r="K285" s="86"/>
      <c r="L285" s="86"/>
      <c r="M285" s="86"/>
      <c r="N285" s="88"/>
      <c r="O285" s="10">
        <f t="shared" si="10"/>
        <v>0</v>
      </c>
    </row>
    <row r="286" spans="2:15">
      <c r="B286" s="96" t="s">
        <v>1543</v>
      </c>
      <c r="C286" s="86" t="s">
        <v>14</v>
      </c>
      <c r="D286" s="89"/>
      <c r="E286" s="86" t="s">
        <v>1544</v>
      </c>
      <c r="F286" s="86"/>
      <c r="G286" s="86" t="s">
        <v>46</v>
      </c>
      <c r="H286" s="86"/>
      <c r="I286" s="86"/>
      <c r="J286" s="86"/>
      <c r="K286" s="86"/>
      <c r="L286" s="86"/>
      <c r="M286" s="86"/>
      <c r="N286" s="88"/>
      <c r="O286" s="10">
        <f t="shared" si="10"/>
        <v>0</v>
      </c>
    </row>
    <row r="287" spans="2:15">
      <c r="B287" s="96" t="s">
        <v>1122</v>
      </c>
      <c r="C287" s="86" t="s">
        <v>95</v>
      </c>
      <c r="D287" s="89"/>
      <c r="E287" s="86" t="s">
        <v>1545</v>
      </c>
      <c r="F287" s="86"/>
      <c r="G287" s="86" t="s">
        <v>17</v>
      </c>
      <c r="H287" s="86"/>
      <c r="I287" s="86"/>
      <c r="J287" s="86"/>
      <c r="K287" s="86"/>
      <c r="L287" s="86"/>
      <c r="M287" s="86"/>
      <c r="N287" s="88"/>
      <c r="O287" s="10">
        <f t="shared" si="10"/>
        <v>0</v>
      </c>
    </row>
    <row r="288" spans="2:15">
      <c r="B288" s="96" t="s">
        <v>1546</v>
      </c>
      <c r="C288" s="86" t="s">
        <v>20</v>
      </c>
      <c r="D288" s="89"/>
      <c r="E288" s="86" t="s">
        <v>1547</v>
      </c>
      <c r="F288" s="86"/>
      <c r="G288" s="86" t="s">
        <v>17</v>
      </c>
      <c r="H288" s="86"/>
      <c r="I288" s="86"/>
      <c r="J288" s="86"/>
      <c r="K288" s="86"/>
      <c r="L288" s="86"/>
      <c r="M288" s="86"/>
      <c r="N288" s="88"/>
      <c r="O288" s="10">
        <f t="shared" si="10"/>
        <v>0</v>
      </c>
    </row>
    <row r="289" spans="2:15">
      <c r="B289" s="96" t="s">
        <v>1548</v>
      </c>
      <c r="C289" s="86" t="s">
        <v>20</v>
      </c>
      <c r="D289" s="89"/>
      <c r="E289" s="86" t="s">
        <v>1549</v>
      </c>
      <c r="F289" s="86"/>
      <c r="G289" s="86" t="s">
        <v>17</v>
      </c>
      <c r="H289" s="86"/>
      <c r="I289" s="86"/>
      <c r="J289" s="86"/>
      <c r="K289" s="86"/>
      <c r="L289" s="86"/>
      <c r="M289" s="86"/>
      <c r="N289" s="88"/>
      <c r="O289" s="10">
        <f t="shared" si="10"/>
        <v>0</v>
      </c>
    </row>
    <row r="290" spans="2:15">
      <c r="B290" s="96" t="s">
        <v>1550</v>
      </c>
      <c r="C290" s="86" t="s">
        <v>20</v>
      </c>
      <c r="D290" s="89"/>
      <c r="E290" s="86" t="s">
        <v>1551</v>
      </c>
      <c r="F290" s="86"/>
      <c r="G290" s="86" t="s">
        <v>21</v>
      </c>
      <c r="H290" s="86"/>
      <c r="I290" s="86"/>
      <c r="J290" s="86"/>
      <c r="K290" s="86"/>
      <c r="L290" s="86"/>
      <c r="M290" s="86"/>
      <c r="N290" s="88"/>
      <c r="O290" s="10">
        <f t="shared" si="10"/>
        <v>0</v>
      </c>
    </row>
    <row r="291" spans="2:15">
      <c r="B291" s="96" t="s">
        <v>1552</v>
      </c>
      <c r="C291" s="86" t="s">
        <v>20</v>
      </c>
      <c r="D291" s="89"/>
      <c r="E291" s="86" t="s">
        <v>1553</v>
      </c>
      <c r="F291" s="86"/>
      <c r="G291" s="86" t="s">
        <v>21</v>
      </c>
      <c r="H291" s="86"/>
      <c r="I291" s="86"/>
      <c r="J291" s="86"/>
      <c r="K291" s="86"/>
      <c r="L291" s="86"/>
      <c r="M291" s="86"/>
      <c r="N291" s="88"/>
      <c r="O291" s="10">
        <f t="shared" si="10"/>
        <v>0</v>
      </c>
    </row>
    <row r="292" spans="2:15" ht="21" customHeight="1">
      <c r="B292" s="96" t="s">
        <v>1554</v>
      </c>
      <c r="C292" s="86" t="s">
        <v>204</v>
      </c>
      <c r="D292" s="89"/>
      <c r="E292" s="86" t="s">
        <v>1555</v>
      </c>
      <c r="F292" s="86"/>
      <c r="G292" s="86" t="s">
        <v>17</v>
      </c>
      <c r="H292" s="86"/>
      <c r="I292" s="86"/>
      <c r="J292" s="86"/>
      <c r="K292" s="86"/>
      <c r="L292" s="86"/>
      <c r="M292" s="86"/>
      <c r="N292" s="88"/>
      <c r="O292" s="10">
        <f t="shared" si="10"/>
        <v>0</v>
      </c>
    </row>
    <row r="293" spans="2:15">
      <c r="B293" s="96" t="s">
        <v>1556</v>
      </c>
      <c r="C293" s="86" t="s">
        <v>20</v>
      </c>
      <c r="D293" s="89"/>
      <c r="E293" s="86" t="s">
        <v>1557</v>
      </c>
      <c r="F293" s="86"/>
      <c r="G293" s="86" t="s">
        <v>21</v>
      </c>
      <c r="H293" s="86" t="s">
        <v>1558</v>
      </c>
      <c r="I293" s="86"/>
      <c r="J293" s="86"/>
      <c r="K293" s="86"/>
      <c r="L293" s="86"/>
      <c r="M293" s="86"/>
      <c r="N293" s="88"/>
      <c r="O293" s="10">
        <f t="shared" si="10"/>
        <v>0</v>
      </c>
    </row>
    <row r="294" spans="2:15">
      <c r="B294" s="96" t="s">
        <v>55</v>
      </c>
      <c r="C294" s="86" t="s">
        <v>14</v>
      </c>
      <c r="D294" s="89"/>
      <c r="E294" s="86" t="s">
        <v>1559</v>
      </c>
      <c r="F294" s="86"/>
      <c r="G294" s="86" t="s">
        <v>21</v>
      </c>
      <c r="H294" s="86"/>
      <c r="I294" s="86"/>
      <c r="J294" s="86"/>
      <c r="K294" s="86"/>
      <c r="L294" s="86"/>
      <c r="M294" s="86"/>
      <c r="N294" s="88"/>
      <c r="O294" s="10">
        <f t="shared" si="10"/>
        <v>0</v>
      </c>
    </row>
    <row r="295" spans="2:15">
      <c r="B295" s="96" t="s">
        <v>1560</v>
      </c>
      <c r="C295" s="86" t="s">
        <v>20</v>
      </c>
      <c r="D295" s="89"/>
      <c r="E295" s="86" t="s">
        <v>1561</v>
      </c>
      <c r="F295" s="86"/>
      <c r="G295" s="86" t="s">
        <v>143</v>
      </c>
      <c r="H295" s="86"/>
      <c r="I295" s="86"/>
      <c r="J295" s="86"/>
      <c r="K295" s="86"/>
      <c r="L295" s="86"/>
      <c r="M295" s="86"/>
      <c r="N295" s="88"/>
      <c r="O295" s="10">
        <f t="shared" si="10"/>
        <v>0</v>
      </c>
    </row>
    <row r="296" spans="2:15">
      <c r="B296" s="96" t="s">
        <v>1560</v>
      </c>
      <c r="C296" s="86" t="s">
        <v>20</v>
      </c>
      <c r="D296" s="89"/>
      <c r="E296" s="86" t="s">
        <v>1562</v>
      </c>
      <c r="F296" s="86"/>
      <c r="G296" s="86" t="s">
        <v>17</v>
      </c>
      <c r="H296" s="86"/>
      <c r="I296" s="86"/>
      <c r="J296" s="86"/>
      <c r="K296" s="86"/>
      <c r="L296" s="86"/>
      <c r="M296" s="86"/>
      <c r="N296" s="88"/>
      <c r="O296" s="10">
        <f t="shared" si="10"/>
        <v>0</v>
      </c>
    </row>
    <row r="297" spans="2:15">
      <c r="B297" s="96" t="s">
        <v>1560</v>
      </c>
      <c r="C297" s="86" t="s">
        <v>20</v>
      </c>
      <c r="D297" s="89"/>
      <c r="E297" s="86" t="s">
        <v>1563</v>
      </c>
      <c r="F297" s="86"/>
      <c r="G297" s="86" t="s">
        <v>17</v>
      </c>
      <c r="H297" s="86"/>
      <c r="I297" s="86"/>
      <c r="J297" s="86"/>
      <c r="K297" s="86"/>
      <c r="L297" s="86"/>
      <c r="M297" s="86"/>
      <c r="N297" s="88"/>
      <c r="O297" s="10">
        <f t="shared" si="10"/>
        <v>0</v>
      </c>
    </row>
    <row r="298" spans="2:15">
      <c r="B298" s="96" t="s">
        <v>1564</v>
      </c>
      <c r="C298" s="86" t="s">
        <v>20</v>
      </c>
      <c r="D298" s="89"/>
      <c r="E298" s="86" t="s">
        <v>1565</v>
      </c>
      <c r="F298" s="86"/>
      <c r="G298" s="86" t="s">
        <v>21</v>
      </c>
      <c r="H298" s="86"/>
      <c r="I298" s="86"/>
      <c r="J298" s="86"/>
      <c r="K298" s="86"/>
      <c r="L298" s="86"/>
      <c r="M298" s="86"/>
      <c r="N298" s="88"/>
      <c r="O298" s="10">
        <f t="shared" si="10"/>
        <v>0</v>
      </c>
    </row>
    <row r="299" spans="2:15">
      <c r="B299" s="96" t="s">
        <v>1566</v>
      </c>
      <c r="C299" s="86" t="s">
        <v>20</v>
      </c>
      <c r="D299" s="89"/>
      <c r="E299" s="86" t="s">
        <v>1567</v>
      </c>
      <c r="F299" s="86"/>
      <c r="G299" s="86" t="s">
        <v>17</v>
      </c>
      <c r="H299" s="86"/>
      <c r="I299" s="86"/>
      <c r="J299" s="86"/>
      <c r="K299" s="86"/>
      <c r="L299" s="86"/>
      <c r="M299" s="86"/>
      <c r="N299" s="88"/>
      <c r="O299" s="10">
        <f t="shared" si="10"/>
        <v>0</v>
      </c>
    </row>
    <row r="300" spans="2:15">
      <c r="B300" s="96" t="s">
        <v>1568</v>
      </c>
      <c r="C300" s="86" t="s">
        <v>20</v>
      </c>
      <c r="D300" s="89"/>
      <c r="E300" s="86" t="s">
        <v>1569</v>
      </c>
      <c r="F300" s="86"/>
      <c r="G300" s="86" t="s">
        <v>21</v>
      </c>
      <c r="H300" s="86"/>
      <c r="I300" s="86"/>
      <c r="J300" s="86"/>
      <c r="K300" s="86"/>
      <c r="L300" s="86"/>
      <c r="M300" s="86"/>
      <c r="N300" s="88"/>
      <c r="O300" s="10">
        <f t="shared" si="10"/>
        <v>0</v>
      </c>
    </row>
    <row r="301" spans="2:15">
      <c r="B301" s="96" t="s">
        <v>1570</v>
      </c>
      <c r="C301" s="86" t="s">
        <v>20</v>
      </c>
      <c r="D301" s="89"/>
      <c r="E301" s="86" t="s">
        <v>1571</v>
      </c>
      <c r="F301" s="86"/>
      <c r="G301" s="86" t="s">
        <v>1572</v>
      </c>
      <c r="H301" s="86"/>
      <c r="I301" s="86"/>
      <c r="J301" s="86"/>
      <c r="K301" s="86"/>
      <c r="L301" s="86"/>
      <c r="M301" s="86"/>
      <c r="N301" s="88"/>
      <c r="O301" s="10">
        <f t="shared" si="10"/>
        <v>0</v>
      </c>
    </row>
    <row r="302" spans="2:15">
      <c r="B302" s="96" t="s">
        <v>1573</v>
      </c>
      <c r="C302" s="86" t="s">
        <v>20</v>
      </c>
      <c r="D302" s="89"/>
      <c r="E302" s="86" t="s">
        <v>1574</v>
      </c>
      <c r="F302" s="86"/>
      <c r="G302" s="86" t="s">
        <v>21</v>
      </c>
      <c r="H302" s="86"/>
      <c r="I302" s="86"/>
      <c r="J302" s="86"/>
      <c r="K302" s="86"/>
      <c r="L302" s="86"/>
      <c r="M302" s="86"/>
      <c r="N302" s="88"/>
      <c r="O302" s="10">
        <f t="shared" si="10"/>
        <v>0</v>
      </c>
    </row>
    <row r="303" spans="2:15">
      <c r="B303" s="96" t="s">
        <v>1575</v>
      </c>
      <c r="C303" s="86" t="s">
        <v>20</v>
      </c>
      <c r="D303" s="89"/>
      <c r="E303" s="86" t="s">
        <v>1576</v>
      </c>
      <c r="F303" s="86"/>
      <c r="G303" s="86" t="s">
        <v>17</v>
      </c>
      <c r="H303" s="86"/>
      <c r="I303" s="86"/>
      <c r="J303" s="86"/>
      <c r="K303" s="86"/>
      <c r="L303" s="86"/>
      <c r="M303" s="86"/>
      <c r="N303" s="88"/>
      <c r="O303" s="10">
        <f t="shared" si="10"/>
        <v>0</v>
      </c>
    </row>
    <row r="304" spans="2:15">
      <c r="B304" s="96" t="s">
        <v>1577</v>
      </c>
      <c r="C304" s="86" t="s">
        <v>20</v>
      </c>
      <c r="D304" s="89"/>
      <c r="E304" s="86" t="s">
        <v>1578</v>
      </c>
      <c r="F304" s="86"/>
      <c r="G304" s="86" t="s">
        <v>21</v>
      </c>
      <c r="H304" s="86"/>
      <c r="I304" s="86"/>
      <c r="J304" s="86"/>
      <c r="K304" s="86"/>
      <c r="L304" s="86"/>
      <c r="M304" s="86"/>
      <c r="N304" s="88"/>
      <c r="O304" s="10">
        <f t="shared" si="10"/>
        <v>0</v>
      </c>
    </row>
    <row r="305" spans="2:15">
      <c r="B305" s="96" t="s">
        <v>1579</v>
      </c>
      <c r="C305" s="86" t="s">
        <v>20</v>
      </c>
      <c r="D305" s="89"/>
      <c r="E305" s="86" t="s">
        <v>1580</v>
      </c>
      <c r="F305" s="86"/>
      <c r="G305" s="86" t="s">
        <v>21</v>
      </c>
      <c r="H305" s="86"/>
      <c r="I305" s="86"/>
      <c r="J305" s="86"/>
      <c r="K305" s="86"/>
      <c r="L305" s="86"/>
      <c r="M305" s="86"/>
      <c r="N305" s="88"/>
      <c r="O305" s="10">
        <f t="shared" si="10"/>
        <v>0</v>
      </c>
    </row>
    <row r="306" spans="2:15">
      <c r="B306" s="96" t="s">
        <v>1581</v>
      </c>
      <c r="C306" s="86" t="s">
        <v>20</v>
      </c>
      <c r="D306" s="89"/>
      <c r="E306" s="86" t="s">
        <v>1582</v>
      </c>
      <c r="F306" s="86"/>
      <c r="G306" s="86" t="s">
        <v>17</v>
      </c>
      <c r="H306" s="86"/>
      <c r="I306" s="86"/>
      <c r="J306" s="86"/>
      <c r="K306" s="86"/>
      <c r="L306" s="86"/>
      <c r="M306" s="86"/>
      <c r="N306" s="88"/>
      <c r="O306" s="10">
        <f t="shared" si="10"/>
        <v>0</v>
      </c>
    </row>
    <row r="307" spans="2:15">
      <c r="B307" s="96" t="s">
        <v>1583</v>
      </c>
      <c r="C307" s="86" t="s">
        <v>20</v>
      </c>
      <c r="D307" s="89"/>
      <c r="E307" s="86" t="s">
        <v>1584</v>
      </c>
      <c r="F307" s="86"/>
      <c r="G307" s="86" t="s">
        <v>17</v>
      </c>
      <c r="H307" s="86"/>
      <c r="I307" s="86"/>
      <c r="J307" s="86"/>
      <c r="K307" s="86"/>
      <c r="L307" s="86"/>
      <c r="M307" s="86"/>
      <c r="N307" s="88"/>
      <c r="O307" s="10">
        <f t="shared" si="10"/>
        <v>0</v>
      </c>
    </row>
    <row r="308" spans="2:15">
      <c r="B308" s="96" t="s">
        <v>1585</v>
      </c>
      <c r="C308" s="86" t="s">
        <v>20</v>
      </c>
      <c r="D308" s="89"/>
      <c r="E308" s="86" t="s">
        <v>1586</v>
      </c>
      <c r="F308" s="86"/>
      <c r="G308" s="86" t="s">
        <v>17</v>
      </c>
      <c r="H308" s="86"/>
      <c r="I308" s="86"/>
      <c r="J308" s="86"/>
      <c r="K308" s="86"/>
      <c r="L308" s="86"/>
      <c r="M308" s="86"/>
      <c r="N308" s="88"/>
      <c r="O308" s="10">
        <f t="shared" si="10"/>
        <v>0</v>
      </c>
    </row>
    <row r="309" spans="2:15">
      <c r="B309" s="96" t="s">
        <v>1587</v>
      </c>
      <c r="C309" s="86" t="s">
        <v>20</v>
      </c>
      <c r="D309" s="89"/>
      <c r="E309" s="86" t="s">
        <v>2156</v>
      </c>
      <c r="F309" s="86"/>
      <c r="G309" s="86" t="s">
        <v>17</v>
      </c>
      <c r="H309" s="86"/>
      <c r="I309" s="86"/>
      <c r="J309" s="86"/>
      <c r="K309" s="86"/>
      <c r="L309" s="86"/>
      <c r="M309" s="86"/>
      <c r="N309" s="88"/>
      <c r="O309" s="10">
        <f t="shared" si="10"/>
        <v>0</v>
      </c>
    </row>
    <row r="310" spans="2:15" ht="30.75">
      <c r="B310" s="96" t="s">
        <v>1588</v>
      </c>
      <c r="C310" s="86" t="s">
        <v>20</v>
      </c>
      <c r="D310" s="89"/>
      <c r="E310" s="86" t="s">
        <v>1589</v>
      </c>
      <c r="F310" s="86"/>
      <c r="G310" s="86" t="s">
        <v>17</v>
      </c>
      <c r="H310" s="86"/>
      <c r="I310" s="86"/>
      <c r="J310" s="86"/>
      <c r="K310" s="86"/>
      <c r="L310" s="86"/>
      <c r="M310" s="86"/>
      <c r="N310" s="88"/>
      <c r="O310" s="10">
        <f t="shared" si="10"/>
        <v>0</v>
      </c>
    </row>
    <row r="311" spans="2:15">
      <c r="B311" s="96" t="s">
        <v>1590</v>
      </c>
      <c r="C311" s="86" t="s">
        <v>20</v>
      </c>
      <c r="D311" s="89"/>
      <c r="E311" s="86" t="s">
        <v>1591</v>
      </c>
      <c r="F311" s="86"/>
      <c r="G311" s="86" t="s">
        <v>17</v>
      </c>
      <c r="H311" s="86"/>
      <c r="I311" s="86"/>
      <c r="J311" s="86"/>
      <c r="K311" s="86"/>
      <c r="L311" s="86"/>
      <c r="M311" s="86"/>
      <c r="N311" s="88"/>
      <c r="O311" s="10">
        <f t="shared" si="10"/>
        <v>0</v>
      </c>
    </row>
    <row r="312" spans="2:15">
      <c r="B312" s="96" t="s">
        <v>1590</v>
      </c>
      <c r="C312" s="86" t="s">
        <v>20</v>
      </c>
      <c r="D312" s="89"/>
      <c r="E312" s="86" t="s">
        <v>1592</v>
      </c>
      <c r="F312" s="86"/>
      <c r="G312" s="86" t="s">
        <v>17</v>
      </c>
      <c r="H312" s="86"/>
      <c r="I312" s="86"/>
      <c r="J312" s="86"/>
      <c r="K312" s="86"/>
      <c r="L312" s="86"/>
      <c r="M312" s="86"/>
      <c r="N312" s="88"/>
      <c r="O312" s="10">
        <f t="shared" si="10"/>
        <v>0</v>
      </c>
    </row>
    <row r="313" spans="2:15" ht="60.75">
      <c r="B313" s="96" t="s">
        <v>1593</v>
      </c>
      <c r="C313" s="86" t="s">
        <v>20</v>
      </c>
      <c r="D313" s="89"/>
      <c r="E313" s="86" t="s">
        <v>1594</v>
      </c>
      <c r="F313" s="86"/>
      <c r="G313" s="86" t="s">
        <v>29</v>
      </c>
      <c r="H313" s="86"/>
      <c r="I313" s="86"/>
      <c r="J313" s="86"/>
      <c r="K313" s="86"/>
      <c r="L313" s="86"/>
      <c r="M313" s="86"/>
      <c r="N313" s="88"/>
      <c r="O313" s="10">
        <f t="shared" si="10"/>
        <v>0</v>
      </c>
    </row>
    <row r="314" spans="2:15">
      <c r="B314" s="96" t="s">
        <v>1595</v>
      </c>
      <c r="C314" s="86" t="s">
        <v>20</v>
      </c>
      <c r="D314" s="89"/>
      <c r="E314" s="86" t="s">
        <v>1596</v>
      </c>
      <c r="F314" s="86"/>
      <c r="G314" s="86" t="s">
        <v>21</v>
      </c>
      <c r="H314" s="86"/>
      <c r="I314" s="86"/>
      <c r="J314" s="86"/>
      <c r="K314" s="86"/>
      <c r="L314" s="86"/>
      <c r="M314" s="86"/>
      <c r="N314" s="88"/>
      <c r="O314" s="10">
        <f t="shared" si="10"/>
        <v>0</v>
      </c>
    </row>
    <row r="315" spans="2:15">
      <c r="B315" s="96" t="s">
        <v>1597</v>
      </c>
      <c r="C315" s="86" t="s">
        <v>20</v>
      </c>
      <c r="D315" s="89"/>
      <c r="E315" s="86" t="s">
        <v>1598</v>
      </c>
      <c r="F315" s="86"/>
      <c r="G315" s="86" t="s">
        <v>17</v>
      </c>
      <c r="H315" s="86"/>
      <c r="I315" s="86"/>
      <c r="J315" s="86"/>
      <c r="K315" s="86"/>
      <c r="L315" s="86"/>
      <c r="M315" s="86"/>
      <c r="N315" s="88"/>
      <c r="O315" s="10">
        <f t="shared" si="10"/>
        <v>0</v>
      </c>
    </row>
    <row r="316" spans="2:15">
      <c r="B316" s="96" t="s">
        <v>1599</v>
      </c>
      <c r="C316" s="86" t="s">
        <v>20</v>
      </c>
      <c r="D316" s="89"/>
      <c r="E316" s="86" t="s">
        <v>1600</v>
      </c>
      <c r="F316" s="86"/>
      <c r="G316" s="86" t="s">
        <v>17</v>
      </c>
      <c r="H316" s="86"/>
      <c r="I316" s="86"/>
      <c r="J316" s="86"/>
      <c r="K316" s="86"/>
      <c r="L316" s="86"/>
      <c r="M316" s="86"/>
      <c r="N316" s="88"/>
      <c r="O316" s="10">
        <f t="shared" si="10"/>
        <v>0</v>
      </c>
    </row>
    <row r="317" spans="2:15">
      <c r="B317" s="96" t="s">
        <v>1599</v>
      </c>
      <c r="C317" s="86" t="s">
        <v>20</v>
      </c>
      <c r="D317" s="89"/>
      <c r="E317" s="86" t="s">
        <v>1601</v>
      </c>
      <c r="F317" s="86"/>
      <c r="G317" s="86" t="s">
        <v>17</v>
      </c>
      <c r="H317" s="86"/>
      <c r="I317" s="86"/>
      <c r="J317" s="86"/>
      <c r="K317" s="86"/>
      <c r="L317" s="86"/>
      <c r="M317" s="86"/>
      <c r="N317" s="88"/>
      <c r="O317" s="10">
        <f t="shared" si="10"/>
        <v>0</v>
      </c>
    </row>
    <row r="318" spans="2:15">
      <c r="B318" s="96" t="s">
        <v>1602</v>
      </c>
      <c r="C318" s="86" t="s">
        <v>20</v>
      </c>
      <c r="D318" s="89"/>
      <c r="E318" s="86" t="s">
        <v>1603</v>
      </c>
      <c r="F318" s="86"/>
      <c r="G318" s="86" t="s">
        <v>117</v>
      </c>
      <c r="H318" s="86"/>
      <c r="I318" s="86"/>
      <c r="J318" s="86"/>
      <c r="K318" s="86"/>
      <c r="L318" s="86"/>
      <c r="M318" s="86"/>
      <c r="N318" s="88"/>
      <c r="O318" s="10">
        <f t="shared" si="10"/>
        <v>0</v>
      </c>
    </row>
    <row r="321" spans="1:15" ht="31.5">
      <c r="A321" s="92" t="s">
        <v>1665</v>
      </c>
      <c r="B321" s="96" t="s">
        <v>1666</v>
      </c>
      <c r="C321" s="86"/>
      <c r="D321" s="89"/>
      <c r="E321" s="89" t="s">
        <v>2202</v>
      </c>
      <c r="F321" s="89"/>
      <c r="G321" s="86" t="s">
        <v>2461</v>
      </c>
      <c r="H321" s="89"/>
      <c r="I321" s="89"/>
      <c r="J321" s="89"/>
      <c r="K321" s="89"/>
      <c r="L321" s="89"/>
      <c r="M321" s="89"/>
      <c r="N321" s="89"/>
      <c r="O321" s="10">
        <f t="shared" ref="O321:O384" si="11">F321*N321</f>
        <v>0</v>
      </c>
    </row>
    <row r="322" spans="1:15">
      <c r="B322" s="96" t="s">
        <v>1666</v>
      </c>
      <c r="C322" s="86"/>
      <c r="D322" s="89"/>
      <c r="E322" s="89" t="s">
        <v>2203</v>
      </c>
      <c r="F322" s="89"/>
      <c r="G322" s="86" t="s">
        <v>2461</v>
      </c>
      <c r="H322" s="89"/>
      <c r="I322" s="89"/>
      <c r="J322" s="89"/>
      <c r="K322" s="89"/>
      <c r="L322" s="89"/>
      <c r="M322" s="89"/>
      <c r="N322" s="89"/>
      <c r="O322" s="10">
        <f t="shared" si="11"/>
        <v>0</v>
      </c>
    </row>
    <row r="323" spans="1:15">
      <c r="B323" s="96" t="s">
        <v>1666</v>
      </c>
      <c r="C323" s="86"/>
      <c r="D323" s="89"/>
      <c r="E323" s="89" t="s">
        <v>2204</v>
      </c>
      <c r="F323" s="89"/>
      <c r="G323" s="86" t="s">
        <v>2461</v>
      </c>
      <c r="H323" s="89"/>
      <c r="I323" s="89"/>
      <c r="J323" s="89"/>
      <c r="K323" s="89"/>
      <c r="L323" s="89"/>
      <c r="M323" s="89"/>
      <c r="N323" s="89"/>
      <c r="O323" s="10">
        <f t="shared" si="11"/>
        <v>0</v>
      </c>
    </row>
    <row r="324" spans="1:15">
      <c r="B324" s="96" t="s">
        <v>1667</v>
      </c>
      <c r="C324" s="86"/>
      <c r="D324" s="89"/>
      <c r="E324" s="89" t="s">
        <v>1668</v>
      </c>
      <c r="F324" s="89"/>
      <c r="G324" s="86" t="s">
        <v>2461</v>
      </c>
      <c r="H324" s="89"/>
      <c r="I324" s="89"/>
      <c r="J324" s="89"/>
      <c r="K324" s="89"/>
      <c r="L324" s="89"/>
      <c r="M324" s="89"/>
      <c r="N324" s="89"/>
      <c r="O324" s="10">
        <f t="shared" si="11"/>
        <v>0</v>
      </c>
    </row>
    <row r="325" spans="1:15">
      <c r="B325" s="96" t="s">
        <v>1667</v>
      </c>
      <c r="C325" s="86"/>
      <c r="D325" s="89"/>
      <c r="E325" s="89" t="s">
        <v>1669</v>
      </c>
      <c r="F325" s="89"/>
      <c r="G325" s="86" t="s">
        <v>2461</v>
      </c>
      <c r="H325" s="89"/>
      <c r="I325" s="89"/>
      <c r="J325" s="89"/>
      <c r="K325" s="89"/>
      <c r="L325" s="89"/>
      <c r="M325" s="89"/>
      <c r="N325" s="89"/>
      <c r="O325" s="10">
        <f t="shared" si="11"/>
        <v>0</v>
      </c>
    </row>
    <row r="326" spans="1:15">
      <c r="B326" s="96" t="s">
        <v>1667</v>
      </c>
      <c r="C326" s="86"/>
      <c r="D326" s="89"/>
      <c r="E326" s="89" t="s">
        <v>1670</v>
      </c>
      <c r="F326" s="89"/>
      <c r="G326" s="86" t="s">
        <v>2461</v>
      </c>
      <c r="H326" s="89"/>
      <c r="I326" s="89"/>
      <c r="J326" s="89"/>
      <c r="K326" s="89"/>
      <c r="L326" s="89"/>
      <c r="M326" s="89"/>
      <c r="N326" s="89"/>
      <c r="O326" s="10">
        <f t="shared" si="11"/>
        <v>0</v>
      </c>
    </row>
    <row r="327" spans="1:15">
      <c r="B327" s="96" t="s">
        <v>1667</v>
      </c>
      <c r="C327" s="86"/>
      <c r="D327" s="89"/>
      <c r="E327" s="89" t="s">
        <v>1671</v>
      </c>
      <c r="F327" s="89"/>
      <c r="G327" s="86" t="s">
        <v>2461</v>
      </c>
      <c r="H327" s="89"/>
      <c r="I327" s="89"/>
      <c r="J327" s="89"/>
      <c r="K327" s="89"/>
      <c r="L327" s="89"/>
      <c r="M327" s="89"/>
      <c r="N327" s="89"/>
      <c r="O327" s="10">
        <f t="shared" si="11"/>
        <v>0</v>
      </c>
    </row>
    <row r="328" spans="1:15" ht="30.75">
      <c r="B328" s="96" t="s">
        <v>1667</v>
      </c>
      <c r="C328" s="86"/>
      <c r="D328" s="89"/>
      <c r="E328" s="89" t="s">
        <v>2205</v>
      </c>
      <c r="F328" s="89"/>
      <c r="G328" s="86" t="s">
        <v>2461</v>
      </c>
      <c r="H328" s="89"/>
      <c r="I328" s="89"/>
      <c r="J328" s="89"/>
      <c r="K328" s="89"/>
      <c r="L328" s="89"/>
      <c r="M328" s="89"/>
      <c r="N328" s="89"/>
      <c r="O328" s="10">
        <f t="shared" si="11"/>
        <v>0</v>
      </c>
    </row>
    <row r="329" spans="1:15">
      <c r="B329" s="96" t="s">
        <v>1667</v>
      </c>
      <c r="C329" s="86"/>
      <c r="D329" s="89"/>
      <c r="E329" s="89" t="s">
        <v>1672</v>
      </c>
      <c r="F329" s="89"/>
      <c r="G329" s="86" t="s">
        <v>2461</v>
      </c>
      <c r="H329" s="89"/>
      <c r="I329" s="89"/>
      <c r="J329" s="89"/>
      <c r="K329" s="89"/>
      <c r="L329" s="89"/>
      <c r="M329" s="89"/>
      <c r="N329" s="89"/>
      <c r="O329" s="10">
        <f t="shared" si="11"/>
        <v>0</v>
      </c>
    </row>
    <row r="330" spans="1:15">
      <c r="B330" s="96" t="s">
        <v>1667</v>
      </c>
      <c r="C330" s="86"/>
      <c r="D330" s="89"/>
      <c r="E330" s="89" t="s">
        <v>1673</v>
      </c>
      <c r="F330" s="89"/>
      <c r="G330" s="86" t="s">
        <v>2461</v>
      </c>
      <c r="H330" s="89"/>
      <c r="I330" s="89"/>
      <c r="J330" s="89"/>
      <c r="K330" s="89"/>
      <c r="L330" s="89"/>
      <c r="M330" s="89"/>
      <c r="N330" s="89"/>
      <c r="O330" s="10">
        <f t="shared" si="11"/>
        <v>0</v>
      </c>
    </row>
    <row r="331" spans="1:15">
      <c r="B331" s="96" t="s">
        <v>1667</v>
      </c>
      <c r="C331" s="86"/>
      <c r="D331" s="89"/>
      <c r="E331" s="89" t="s">
        <v>1674</v>
      </c>
      <c r="F331" s="89"/>
      <c r="G331" s="86" t="s">
        <v>2461</v>
      </c>
      <c r="H331" s="89"/>
      <c r="I331" s="89"/>
      <c r="J331" s="89"/>
      <c r="K331" s="89"/>
      <c r="L331" s="89"/>
      <c r="M331" s="89"/>
      <c r="N331" s="89"/>
      <c r="O331" s="10">
        <f t="shared" si="11"/>
        <v>0</v>
      </c>
    </row>
    <row r="332" spans="1:15">
      <c r="B332" s="96" t="s">
        <v>1667</v>
      </c>
      <c r="C332" s="86"/>
      <c r="D332" s="89"/>
      <c r="E332" s="89" t="s">
        <v>1675</v>
      </c>
      <c r="F332" s="89"/>
      <c r="G332" s="86" t="s">
        <v>2461</v>
      </c>
      <c r="H332" s="89"/>
      <c r="I332" s="89"/>
      <c r="J332" s="89"/>
      <c r="K332" s="89"/>
      <c r="L332" s="89"/>
      <c r="M332" s="89"/>
      <c r="N332" s="89"/>
      <c r="O332" s="10">
        <f t="shared" si="11"/>
        <v>0</v>
      </c>
    </row>
    <row r="333" spans="1:15">
      <c r="B333" s="96" t="s">
        <v>1667</v>
      </c>
      <c r="C333" s="86"/>
      <c r="D333" s="89"/>
      <c r="E333" s="89" t="s">
        <v>2206</v>
      </c>
      <c r="F333" s="89"/>
      <c r="G333" s="86" t="s">
        <v>2461</v>
      </c>
      <c r="H333" s="89"/>
      <c r="I333" s="89"/>
      <c r="J333" s="89"/>
      <c r="K333" s="89"/>
      <c r="L333" s="89"/>
      <c r="M333" s="89"/>
      <c r="N333" s="89"/>
      <c r="O333" s="10">
        <f t="shared" si="11"/>
        <v>0</v>
      </c>
    </row>
    <row r="334" spans="1:15">
      <c r="B334" s="96" t="s">
        <v>1667</v>
      </c>
      <c r="C334" s="86"/>
      <c r="D334" s="89"/>
      <c r="E334" s="89" t="s">
        <v>1676</v>
      </c>
      <c r="F334" s="89"/>
      <c r="G334" s="86" t="s">
        <v>2461</v>
      </c>
      <c r="H334" s="89"/>
      <c r="I334" s="89"/>
      <c r="J334" s="89"/>
      <c r="K334" s="89"/>
      <c r="L334" s="89"/>
      <c r="M334" s="89"/>
      <c r="N334" s="89"/>
      <c r="O334" s="10">
        <f t="shared" si="11"/>
        <v>0</v>
      </c>
    </row>
    <row r="335" spans="1:15">
      <c r="B335" s="96" t="s">
        <v>1667</v>
      </c>
      <c r="C335" s="86"/>
      <c r="D335" s="89"/>
      <c r="E335" s="89" t="s">
        <v>1677</v>
      </c>
      <c r="F335" s="89"/>
      <c r="G335" s="86" t="s">
        <v>2461</v>
      </c>
      <c r="H335" s="89"/>
      <c r="I335" s="89"/>
      <c r="J335" s="89"/>
      <c r="K335" s="89"/>
      <c r="L335" s="89"/>
      <c r="M335" s="89"/>
      <c r="N335" s="89"/>
      <c r="O335" s="10">
        <f t="shared" si="11"/>
        <v>0</v>
      </c>
    </row>
    <row r="336" spans="1:15">
      <c r="B336" s="96" t="s">
        <v>1667</v>
      </c>
      <c r="C336" s="86"/>
      <c r="D336" s="89"/>
      <c r="E336" s="89" t="s">
        <v>1678</v>
      </c>
      <c r="F336" s="89"/>
      <c r="G336" s="86" t="s">
        <v>2461</v>
      </c>
      <c r="H336" s="89"/>
      <c r="I336" s="89"/>
      <c r="J336" s="89"/>
      <c r="K336" s="89"/>
      <c r="L336" s="89"/>
      <c r="M336" s="89"/>
      <c r="N336" s="89"/>
      <c r="O336" s="10">
        <f t="shared" si="11"/>
        <v>0</v>
      </c>
    </row>
    <row r="337" spans="2:15">
      <c r="B337" s="96" t="s">
        <v>1667</v>
      </c>
      <c r="C337" s="86"/>
      <c r="D337" s="89"/>
      <c r="E337" s="89" t="s">
        <v>1679</v>
      </c>
      <c r="F337" s="89"/>
      <c r="G337" s="86" t="s">
        <v>2461</v>
      </c>
      <c r="H337" s="89"/>
      <c r="I337" s="89"/>
      <c r="J337" s="89"/>
      <c r="K337" s="89"/>
      <c r="L337" s="89"/>
      <c r="M337" s="89"/>
      <c r="N337" s="89"/>
      <c r="O337" s="10">
        <f t="shared" si="11"/>
        <v>0</v>
      </c>
    </row>
    <row r="338" spans="2:15">
      <c r="B338" s="96" t="s">
        <v>1680</v>
      </c>
      <c r="C338" s="86"/>
      <c r="D338" s="89"/>
      <c r="E338" s="89" t="s">
        <v>1681</v>
      </c>
      <c r="F338" s="89"/>
      <c r="G338" s="86" t="s">
        <v>2461</v>
      </c>
      <c r="H338" s="89"/>
      <c r="I338" s="89"/>
      <c r="J338" s="89"/>
      <c r="K338" s="89"/>
      <c r="L338" s="89"/>
      <c r="M338" s="89"/>
      <c r="N338" s="89"/>
      <c r="O338" s="10">
        <f t="shared" si="11"/>
        <v>0</v>
      </c>
    </row>
    <row r="339" spans="2:15">
      <c r="B339" s="96" t="s">
        <v>1680</v>
      </c>
      <c r="C339" s="86"/>
      <c r="D339" s="89"/>
      <c r="E339" s="89" t="s">
        <v>1682</v>
      </c>
      <c r="F339" s="89"/>
      <c r="G339" s="86" t="s">
        <v>2461</v>
      </c>
      <c r="H339" s="89"/>
      <c r="I339" s="89"/>
      <c r="J339" s="89"/>
      <c r="K339" s="89"/>
      <c r="L339" s="89"/>
      <c r="M339" s="89"/>
      <c r="N339" s="89"/>
      <c r="O339" s="10">
        <f t="shared" si="11"/>
        <v>0</v>
      </c>
    </row>
    <row r="340" spans="2:15">
      <c r="B340" s="96" t="s">
        <v>1680</v>
      </c>
      <c r="C340" s="86"/>
      <c r="D340" s="89"/>
      <c r="E340" s="89" t="s">
        <v>1683</v>
      </c>
      <c r="F340" s="89"/>
      <c r="G340" s="86" t="s">
        <v>2461</v>
      </c>
      <c r="H340" s="89"/>
      <c r="I340" s="89"/>
      <c r="J340" s="89"/>
      <c r="K340" s="89"/>
      <c r="L340" s="89"/>
      <c r="M340" s="89"/>
      <c r="N340" s="89"/>
      <c r="O340" s="10">
        <f t="shared" si="11"/>
        <v>0</v>
      </c>
    </row>
    <row r="341" spans="2:15">
      <c r="B341" s="96" t="s">
        <v>1680</v>
      </c>
      <c r="C341" s="86"/>
      <c r="D341" s="89"/>
      <c r="E341" s="89" t="s">
        <v>1684</v>
      </c>
      <c r="F341" s="89"/>
      <c r="G341" s="86" t="s">
        <v>2461</v>
      </c>
      <c r="H341" s="89"/>
      <c r="I341" s="89"/>
      <c r="J341" s="89"/>
      <c r="K341" s="89"/>
      <c r="L341" s="89"/>
      <c r="M341" s="89"/>
      <c r="N341" s="89"/>
      <c r="O341" s="10">
        <f t="shared" si="11"/>
        <v>0</v>
      </c>
    </row>
    <row r="342" spans="2:15">
      <c r="B342" s="96" t="s">
        <v>1680</v>
      </c>
      <c r="C342" s="86"/>
      <c r="D342" s="89"/>
      <c r="E342" s="89" t="s">
        <v>1685</v>
      </c>
      <c r="F342" s="89"/>
      <c r="G342" s="86" t="s">
        <v>2461</v>
      </c>
      <c r="H342" s="89"/>
      <c r="I342" s="89"/>
      <c r="J342" s="89"/>
      <c r="K342" s="89"/>
      <c r="L342" s="89"/>
      <c r="M342" s="89"/>
      <c r="N342" s="89"/>
      <c r="O342" s="10">
        <f t="shared" si="11"/>
        <v>0</v>
      </c>
    </row>
    <row r="343" spans="2:15">
      <c r="B343" s="96" t="s">
        <v>1680</v>
      </c>
      <c r="C343" s="86"/>
      <c r="D343" s="89"/>
      <c r="E343" s="89" t="s">
        <v>1686</v>
      </c>
      <c r="F343" s="89"/>
      <c r="G343" s="86" t="s">
        <v>2461</v>
      </c>
      <c r="H343" s="89"/>
      <c r="I343" s="89"/>
      <c r="J343" s="89"/>
      <c r="K343" s="89"/>
      <c r="L343" s="89"/>
      <c r="M343" s="89"/>
      <c r="N343" s="89"/>
      <c r="O343" s="10">
        <f t="shared" si="11"/>
        <v>0</v>
      </c>
    </row>
    <row r="344" spans="2:15">
      <c r="B344" s="96" t="s">
        <v>1680</v>
      </c>
      <c r="C344" s="86"/>
      <c r="D344" s="89"/>
      <c r="E344" s="89" t="s">
        <v>1687</v>
      </c>
      <c r="F344" s="89"/>
      <c r="G344" s="86" t="s">
        <v>2461</v>
      </c>
      <c r="H344" s="89"/>
      <c r="I344" s="89"/>
      <c r="J344" s="89"/>
      <c r="K344" s="89"/>
      <c r="L344" s="89"/>
      <c r="M344" s="89"/>
      <c r="N344" s="89"/>
      <c r="O344" s="10">
        <f t="shared" si="11"/>
        <v>0</v>
      </c>
    </row>
    <row r="345" spans="2:15">
      <c r="B345" s="96" t="s">
        <v>1680</v>
      </c>
      <c r="C345" s="86"/>
      <c r="D345" s="89"/>
      <c r="E345" s="89" t="s">
        <v>1688</v>
      </c>
      <c r="F345" s="89"/>
      <c r="G345" s="86" t="s">
        <v>2461</v>
      </c>
      <c r="H345" s="89"/>
      <c r="I345" s="89"/>
      <c r="J345" s="89"/>
      <c r="K345" s="89"/>
      <c r="L345" s="89"/>
      <c r="M345" s="89"/>
      <c r="N345" s="89"/>
      <c r="O345" s="10">
        <f t="shared" si="11"/>
        <v>0</v>
      </c>
    </row>
    <row r="346" spans="2:15">
      <c r="B346" s="96" t="s">
        <v>1680</v>
      </c>
      <c r="C346" s="86"/>
      <c r="D346" s="89"/>
      <c r="E346" s="89" t="s">
        <v>1689</v>
      </c>
      <c r="F346" s="89"/>
      <c r="G346" s="86" t="s">
        <v>2461</v>
      </c>
      <c r="H346" s="89"/>
      <c r="I346" s="89"/>
      <c r="J346" s="89"/>
      <c r="K346" s="89"/>
      <c r="L346" s="89"/>
      <c r="M346" s="89"/>
      <c r="N346" s="89"/>
      <c r="O346" s="10">
        <f t="shared" si="11"/>
        <v>0</v>
      </c>
    </row>
    <row r="347" spans="2:15">
      <c r="B347" s="96" t="s">
        <v>1680</v>
      </c>
      <c r="C347" s="86"/>
      <c r="D347" s="89"/>
      <c r="E347" s="89" t="s">
        <v>1690</v>
      </c>
      <c r="F347" s="89"/>
      <c r="G347" s="86" t="s">
        <v>2461</v>
      </c>
      <c r="H347" s="89"/>
      <c r="I347" s="89"/>
      <c r="J347" s="89"/>
      <c r="K347" s="89"/>
      <c r="L347" s="89"/>
      <c r="M347" s="89"/>
      <c r="N347" s="89"/>
      <c r="O347" s="10">
        <f t="shared" si="11"/>
        <v>0</v>
      </c>
    </row>
    <row r="348" spans="2:15">
      <c r="B348" s="96" t="s">
        <v>1680</v>
      </c>
      <c r="C348" s="86"/>
      <c r="D348" s="89"/>
      <c r="E348" s="89" t="s">
        <v>1691</v>
      </c>
      <c r="F348" s="89"/>
      <c r="G348" s="86" t="s">
        <v>2461</v>
      </c>
      <c r="H348" s="89"/>
      <c r="I348" s="89"/>
      <c r="J348" s="89"/>
      <c r="K348" s="89"/>
      <c r="L348" s="89"/>
      <c r="M348" s="89"/>
      <c r="N348" s="89"/>
      <c r="O348" s="10">
        <f t="shared" si="11"/>
        <v>0</v>
      </c>
    </row>
    <row r="349" spans="2:15">
      <c r="B349" s="96" t="s">
        <v>1748</v>
      </c>
      <c r="C349" s="86"/>
      <c r="D349" s="89"/>
      <c r="E349" s="89" t="s">
        <v>1692</v>
      </c>
      <c r="F349" s="89"/>
      <c r="G349" s="86" t="s">
        <v>2461</v>
      </c>
      <c r="H349" s="89"/>
      <c r="I349" s="89"/>
      <c r="J349" s="89"/>
      <c r="K349" s="89"/>
      <c r="L349" s="89"/>
      <c r="M349" s="89"/>
      <c r="N349" s="89"/>
      <c r="O349" s="10">
        <f t="shared" si="11"/>
        <v>0</v>
      </c>
    </row>
    <row r="350" spans="2:15">
      <c r="B350" s="96" t="s">
        <v>1748</v>
      </c>
      <c r="C350" s="86"/>
      <c r="D350" s="89"/>
      <c r="E350" s="89" t="s">
        <v>1693</v>
      </c>
      <c r="F350" s="89"/>
      <c r="G350" s="86" t="s">
        <v>2461</v>
      </c>
      <c r="H350" s="89"/>
      <c r="I350" s="89"/>
      <c r="J350" s="89"/>
      <c r="K350" s="89"/>
      <c r="L350" s="89"/>
      <c r="M350" s="89"/>
      <c r="N350" s="89"/>
      <c r="O350" s="10">
        <f t="shared" si="11"/>
        <v>0</v>
      </c>
    </row>
    <row r="351" spans="2:15">
      <c r="B351" s="96" t="s">
        <v>1748</v>
      </c>
      <c r="C351" s="86"/>
      <c r="D351" s="89"/>
      <c r="E351" s="89" t="s">
        <v>1694</v>
      </c>
      <c r="F351" s="89"/>
      <c r="G351" s="86" t="s">
        <v>2461</v>
      </c>
      <c r="H351" s="89"/>
      <c r="I351" s="89"/>
      <c r="J351" s="89"/>
      <c r="K351" s="89"/>
      <c r="L351" s="89"/>
      <c r="M351" s="89"/>
      <c r="N351" s="89"/>
      <c r="O351" s="10">
        <f t="shared" si="11"/>
        <v>0</v>
      </c>
    </row>
    <row r="352" spans="2:15">
      <c r="B352" s="96" t="s">
        <v>1748</v>
      </c>
      <c r="C352" s="86"/>
      <c r="D352" s="89"/>
      <c r="E352" s="89" t="s">
        <v>1695</v>
      </c>
      <c r="F352" s="89"/>
      <c r="G352" s="86" t="s">
        <v>2461</v>
      </c>
      <c r="H352" s="89"/>
      <c r="I352" s="89"/>
      <c r="J352" s="89"/>
      <c r="K352" s="89"/>
      <c r="L352" s="89"/>
      <c r="M352" s="89"/>
      <c r="N352" s="89"/>
      <c r="O352" s="10">
        <f t="shared" si="11"/>
        <v>0</v>
      </c>
    </row>
    <row r="353" spans="2:15">
      <c r="B353" s="96" t="s">
        <v>1748</v>
      </c>
      <c r="C353" s="86"/>
      <c r="D353" s="89"/>
      <c r="E353" s="89" t="s">
        <v>1696</v>
      </c>
      <c r="F353" s="89"/>
      <c r="G353" s="86" t="s">
        <v>2461</v>
      </c>
      <c r="H353" s="89"/>
      <c r="I353" s="89"/>
      <c r="J353" s="89"/>
      <c r="K353" s="89"/>
      <c r="L353" s="89"/>
      <c r="M353" s="89"/>
      <c r="N353" s="89"/>
      <c r="O353" s="10">
        <f t="shared" si="11"/>
        <v>0</v>
      </c>
    </row>
    <row r="354" spans="2:15">
      <c r="B354" s="96" t="s">
        <v>1748</v>
      </c>
      <c r="C354" s="86"/>
      <c r="D354" s="89"/>
      <c r="E354" s="89" t="s">
        <v>1697</v>
      </c>
      <c r="F354" s="89"/>
      <c r="G354" s="86" t="s">
        <v>2461</v>
      </c>
      <c r="H354" s="89"/>
      <c r="I354" s="89"/>
      <c r="J354" s="89"/>
      <c r="K354" s="89"/>
      <c r="L354" s="89"/>
      <c r="M354" s="89"/>
      <c r="N354" s="89"/>
      <c r="O354" s="10">
        <f t="shared" si="11"/>
        <v>0</v>
      </c>
    </row>
    <row r="355" spans="2:15">
      <c r="B355" s="96" t="s">
        <v>1748</v>
      </c>
      <c r="C355" s="86"/>
      <c r="D355" s="89"/>
      <c r="E355" s="89" t="s">
        <v>1698</v>
      </c>
      <c r="F355" s="89"/>
      <c r="G355" s="86" t="s">
        <v>2461</v>
      </c>
      <c r="H355" s="89"/>
      <c r="I355" s="89"/>
      <c r="J355" s="89"/>
      <c r="K355" s="89"/>
      <c r="L355" s="89"/>
      <c r="M355" s="89"/>
      <c r="N355" s="89"/>
      <c r="O355" s="10">
        <f t="shared" si="11"/>
        <v>0</v>
      </c>
    </row>
    <row r="356" spans="2:15">
      <c r="B356" s="96" t="s">
        <v>1748</v>
      </c>
      <c r="C356" s="86"/>
      <c r="D356" s="89"/>
      <c r="E356" s="89" t="s">
        <v>1699</v>
      </c>
      <c r="F356" s="89"/>
      <c r="G356" s="86" t="s">
        <v>2461</v>
      </c>
      <c r="H356" s="89"/>
      <c r="I356" s="89"/>
      <c r="J356" s="89"/>
      <c r="K356" s="89"/>
      <c r="L356" s="89"/>
      <c r="M356" s="89"/>
      <c r="N356" s="89"/>
      <c r="O356" s="10">
        <f t="shared" si="11"/>
        <v>0</v>
      </c>
    </row>
    <row r="357" spans="2:15">
      <c r="B357" s="96" t="s">
        <v>1748</v>
      </c>
      <c r="C357" s="86"/>
      <c r="D357" s="89"/>
      <c r="E357" s="89" t="s">
        <v>1700</v>
      </c>
      <c r="F357" s="89"/>
      <c r="G357" s="86" t="s">
        <v>2461</v>
      </c>
      <c r="H357" s="89"/>
      <c r="I357" s="89"/>
      <c r="J357" s="89"/>
      <c r="K357" s="89"/>
      <c r="L357" s="89"/>
      <c r="M357" s="89"/>
      <c r="N357" s="89"/>
      <c r="O357" s="10">
        <f t="shared" si="11"/>
        <v>0</v>
      </c>
    </row>
    <row r="358" spans="2:15">
      <c r="B358" s="96" t="s">
        <v>1748</v>
      </c>
      <c r="C358" s="86"/>
      <c r="D358" s="89"/>
      <c r="E358" s="89" t="s">
        <v>1701</v>
      </c>
      <c r="F358" s="89"/>
      <c r="G358" s="86" t="s">
        <v>2461</v>
      </c>
      <c r="H358" s="89"/>
      <c r="I358" s="89"/>
      <c r="J358" s="89"/>
      <c r="K358" s="89"/>
      <c r="L358" s="89"/>
      <c r="M358" s="89"/>
      <c r="N358" s="89"/>
      <c r="O358" s="10">
        <f t="shared" si="11"/>
        <v>0</v>
      </c>
    </row>
    <row r="359" spans="2:15">
      <c r="B359" s="96" t="s">
        <v>1748</v>
      </c>
      <c r="C359" s="86"/>
      <c r="D359" s="89"/>
      <c r="E359" s="89" t="s">
        <v>1702</v>
      </c>
      <c r="F359" s="89"/>
      <c r="G359" s="86" t="s">
        <v>2461</v>
      </c>
      <c r="H359" s="89"/>
      <c r="I359" s="89"/>
      <c r="J359" s="89"/>
      <c r="K359" s="89"/>
      <c r="L359" s="89"/>
      <c r="M359" s="89"/>
      <c r="N359" s="89"/>
      <c r="O359" s="10">
        <f t="shared" si="11"/>
        <v>0</v>
      </c>
    </row>
    <row r="360" spans="2:15">
      <c r="B360" s="96" t="s">
        <v>1748</v>
      </c>
      <c r="C360" s="86"/>
      <c r="D360" s="89"/>
      <c r="E360" s="89" t="s">
        <v>1703</v>
      </c>
      <c r="F360" s="89"/>
      <c r="G360" s="86" t="s">
        <v>2461</v>
      </c>
      <c r="H360" s="89"/>
      <c r="I360" s="89"/>
      <c r="J360" s="89"/>
      <c r="K360" s="89"/>
      <c r="L360" s="89"/>
      <c r="M360" s="89"/>
      <c r="N360" s="89"/>
      <c r="O360" s="10">
        <f t="shared" si="11"/>
        <v>0</v>
      </c>
    </row>
    <row r="361" spans="2:15">
      <c r="B361" s="96" t="s">
        <v>1748</v>
      </c>
      <c r="C361" s="86"/>
      <c r="D361" s="89"/>
      <c r="E361" s="89" t="s">
        <v>2207</v>
      </c>
      <c r="F361" s="89"/>
      <c r="G361" s="86" t="s">
        <v>2461</v>
      </c>
      <c r="H361" s="89"/>
      <c r="I361" s="89"/>
      <c r="J361" s="89"/>
      <c r="K361" s="89"/>
      <c r="L361" s="89"/>
      <c r="M361" s="89"/>
      <c r="N361" s="89"/>
      <c r="O361" s="10">
        <f t="shared" si="11"/>
        <v>0</v>
      </c>
    </row>
    <row r="362" spans="2:15">
      <c r="B362" s="96" t="s">
        <v>1748</v>
      </c>
      <c r="C362" s="86"/>
      <c r="D362" s="89"/>
      <c r="E362" s="89" t="s">
        <v>1704</v>
      </c>
      <c r="F362" s="89"/>
      <c r="G362" s="86" t="s">
        <v>2461</v>
      </c>
      <c r="H362" s="89"/>
      <c r="I362" s="89"/>
      <c r="J362" s="89"/>
      <c r="K362" s="89"/>
      <c r="L362" s="89"/>
      <c r="M362" s="89"/>
      <c r="N362" s="89"/>
      <c r="O362" s="10">
        <f t="shared" si="11"/>
        <v>0</v>
      </c>
    </row>
    <row r="363" spans="2:15">
      <c r="B363" s="96" t="s">
        <v>1748</v>
      </c>
      <c r="C363" s="86"/>
      <c r="D363" s="89"/>
      <c r="E363" s="89" t="s">
        <v>2208</v>
      </c>
      <c r="F363" s="89"/>
      <c r="G363" s="86" t="s">
        <v>2461</v>
      </c>
      <c r="H363" s="89"/>
      <c r="I363" s="89"/>
      <c r="J363" s="89"/>
      <c r="K363" s="89"/>
      <c r="L363" s="89"/>
      <c r="M363" s="89"/>
      <c r="N363" s="89"/>
      <c r="O363" s="10">
        <f t="shared" si="11"/>
        <v>0</v>
      </c>
    </row>
    <row r="364" spans="2:15">
      <c r="B364" s="96" t="s">
        <v>1748</v>
      </c>
      <c r="C364" s="86"/>
      <c r="D364" s="89"/>
      <c r="E364" s="89" t="s">
        <v>1705</v>
      </c>
      <c r="F364" s="89"/>
      <c r="G364" s="86" t="s">
        <v>2461</v>
      </c>
      <c r="H364" s="89"/>
      <c r="I364" s="89"/>
      <c r="J364" s="89"/>
      <c r="K364" s="89"/>
      <c r="L364" s="89"/>
      <c r="M364" s="89"/>
      <c r="N364" s="89"/>
      <c r="O364" s="10">
        <f t="shared" si="11"/>
        <v>0</v>
      </c>
    </row>
    <row r="365" spans="2:15">
      <c r="B365" s="96" t="s">
        <v>1748</v>
      </c>
      <c r="C365" s="86"/>
      <c r="D365" s="89"/>
      <c r="E365" s="89" t="s">
        <v>1706</v>
      </c>
      <c r="F365" s="89"/>
      <c r="G365" s="86" t="s">
        <v>2461</v>
      </c>
      <c r="H365" s="89"/>
      <c r="I365" s="89"/>
      <c r="J365" s="89"/>
      <c r="K365" s="89"/>
      <c r="L365" s="89"/>
      <c r="M365" s="89"/>
      <c r="N365" s="89"/>
      <c r="O365" s="10">
        <f t="shared" si="11"/>
        <v>0</v>
      </c>
    </row>
    <row r="366" spans="2:15" ht="30.75">
      <c r="B366" s="96" t="s">
        <v>1748</v>
      </c>
      <c r="C366" s="86"/>
      <c r="D366" s="89"/>
      <c r="E366" s="89" t="s">
        <v>2209</v>
      </c>
      <c r="F366" s="89"/>
      <c r="G366" s="86" t="s">
        <v>2461</v>
      </c>
      <c r="H366" s="89"/>
      <c r="I366" s="89"/>
      <c r="J366" s="89"/>
      <c r="K366" s="89"/>
      <c r="L366" s="89"/>
      <c r="M366" s="89"/>
      <c r="N366" s="89"/>
      <c r="O366" s="10">
        <f t="shared" si="11"/>
        <v>0</v>
      </c>
    </row>
    <row r="367" spans="2:15">
      <c r="B367" s="96" t="s">
        <v>1748</v>
      </c>
      <c r="C367" s="86"/>
      <c r="D367" s="89"/>
      <c r="E367" s="89" t="s">
        <v>1707</v>
      </c>
      <c r="F367" s="89"/>
      <c r="G367" s="86" t="s">
        <v>2461</v>
      </c>
      <c r="H367" s="89"/>
      <c r="I367" s="89"/>
      <c r="J367" s="89"/>
      <c r="K367" s="89"/>
      <c r="L367" s="89"/>
      <c r="M367" s="89"/>
      <c r="N367" s="89"/>
      <c r="O367" s="10">
        <f t="shared" si="11"/>
        <v>0</v>
      </c>
    </row>
    <row r="368" spans="2:15">
      <c r="B368" s="96" t="s">
        <v>1748</v>
      </c>
      <c r="C368" s="86"/>
      <c r="D368" s="89"/>
      <c r="E368" s="89" t="s">
        <v>1708</v>
      </c>
      <c r="F368" s="89"/>
      <c r="G368" s="86" t="s">
        <v>2461</v>
      </c>
      <c r="H368" s="89"/>
      <c r="I368" s="89"/>
      <c r="J368" s="89"/>
      <c r="K368" s="89"/>
      <c r="L368" s="89"/>
      <c r="M368" s="89"/>
      <c r="N368" s="89"/>
      <c r="O368" s="10">
        <f t="shared" si="11"/>
        <v>0</v>
      </c>
    </row>
    <row r="369" spans="2:15">
      <c r="B369" s="96" t="s">
        <v>1748</v>
      </c>
      <c r="C369" s="86"/>
      <c r="D369" s="89"/>
      <c r="E369" s="89" t="s">
        <v>1709</v>
      </c>
      <c r="F369" s="89"/>
      <c r="G369" s="86" t="s">
        <v>2461</v>
      </c>
      <c r="H369" s="89"/>
      <c r="I369" s="89"/>
      <c r="J369" s="89"/>
      <c r="K369" s="89"/>
      <c r="L369" s="89"/>
      <c r="M369" s="89"/>
      <c r="N369" s="89"/>
      <c r="O369" s="10">
        <f t="shared" si="11"/>
        <v>0</v>
      </c>
    </row>
    <row r="370" spans="2:15">
      <c r="B370" s="96" t="s">
        <v>1748</v>
      </c>
      <c r="C370" s="86"/>
      <c r="D370" s="89"/>
      <c r="E370" s="89" t="s">
        <v>1710</v>
      </c>
      <c r="F370" s="89"/>
      <c r="G370" s="86" t="s">
        <v>2461</v>
      </c>
      <c r="H370" s="89"/>
      <c r="I370" s="89"/>
      <c r="J370" s="89"/>
      <c r="K370" s="89"/>
      <c r="L370" s="89"/>
      <c r="M370" s="89"/>
      <c r="N370" s="89"/>
      <c r="O370" s="10">
        <f t="shared" si="11"/>
        <v>0</v>
      </c>
    </row>
    <row r="371" spans="2:15">
      <c r="B371" s="96" t="s">
        <v>1748</v>
      </c>
      <c r="C371" s="86"/>
      <c r="D371" s="89"/>
      <c r="E371" s="89" t="s">
        <v>1711</v>
      </c>
      <c r="F371" s="89"/>
      <c r="G371" s="86" t="s">
        <v>2461</v>
      </c>
      <c r="H371" s="89"/>
      <c r="I371" s="89"/>
      <c r="J371" s="89"/>
      <c r="K371" s="89"/>
      <c r="L371" s="89"/>
      <c r="M371" s="89"/>
      <c r="N371" s="89"/>
      <c r="O371" s="10">
        <f t="shared" si="11"/>
        <v>0</v>
      </c>
    </row>
    <row r="372" spans="2:15">
      <c r="B372" s="96" t="s">
        <v>1748</v>
      </c>
      <c r="C372" s="86"/>
      <c r="D372" s="89"/>
      <c r="E372" s="89" t="s">
        <v>1712</v>
      </c>
      <c r="F372" s="89"/>
      <c r="G372" s="86" t="s">
        <v>2461</v>
      </c>
      <c r="H372" s="89"/>
      <c r="I372" s="89"/>
      <c r="J372" s="89"/>
      <c r="K372" s="89"/>
      <c r="L372" s="89"/>
      <c r="M372" s="89"/>
      <c r="N372" s="89"/>
      <c r="O372" s="10">
        <f t="shared" si="11"/>
        <v>0</v>
      </c>
    </row>
    <row r="373" spans="2:15">
      <c r="B373" s="96" t="s">
        <v>1748</v>
      </c>
      <c r="C373" s="86"/>
      <c r="D373" s="89"/>
      <c r="E373" s="89" t="s">
        <v>1713</v>
      </c>
      <c r="F373" s="89"/>
      <c r="G373" s="86" t="s">
        <v>2461</v>
      </c>
      <c r="H373" s="89"/>
      <c r="I373" s="89"/>
      <c r="J373" s="89"/>
      <c r="K373" s="89"/>
      <c r="L373" s="89"/>
      <c r="M373" s="89"/>
      <c r="N373" s="89"/>
      <c r="O373" s="10">
        <f t="shared" si="11"/>
        <v>0</v>
      </c>
    </row>
    <row r="374" spans="2:15">
      <c r="B374" s="96" t="s">
        <v>1748</v>
      </c>
      <c r="C374" s="86"/>
      <c r="D374" s="89"/>
      <c r="E374" s="89" t="s">
        <v>1714</v>
      </c>
      <c r="F374" s="89"/>
      <c r="G374" s="86" t="s">
        <v>2461</v>
      </c>
      <c r="H374" s="89"/>
      <c r="I374" s="89"/>
      <c r="J374" s="89"/>
      <c r="K374" s="89"/>
      <c r="L374" s="89"/>
      <c r="M374" s="89"/>
      <c r="N374" s="89"/>
      <c r="O374" s="10">
        <f t="shared" si="11"/>
        <v>0</v>
      </c>
    </row>
    <row r="375" spans="2:15">
      <c r="B375" s="96" t="s">
        <v>1748</v>
      </c>
      <c r="C375" s="86"/>
      <c r="D375" s="89"/>
      <c r="E375" s="89" t="s">
        <v>1715</v>
      </c>
      <c r="F375" s="89"/>
      <c r="G375" s="86" t="s">
        <v>2461</v>
      </c>
      <c r="H375" s="89"/>
      <c r="I375" s="89"/>
      <c r="J375" s="89"/>
      <c r="K375" s="89"/>
      <c r="L375" s="89"/>
      <c r="M375" s="89"/>
      <c r="N375" s="89"/>
      <c r="O375" s="10">
        <f t="shared" si="11"/>
        <v>0</v>
      </c>
    </row>
    <row r="376" spans="2:15">
      <c r="B376" s="96" t="s">
        <v>1748</v>
      </c>
      <c r="C376" s="86"/>
      <c r="D376" s="89"/>
      <c r="E376" s="89" t="s">
        <v>1716</v>
      </c>
      <c r="F376" s="89"/>
      <c r="G376" s="86" t="s">
        <v>2461</v>
      </c>
      <c r="H376" s="89"/>
      <c r="I376" s="89"/>
      <c r="J376" s="89"/>
      <c r="K376" s="89"/>
      <c r="L376" s="89"/>
      <c r="M376" s="89"/>
      <c r="N376" s="89"/>
      <c r="O376" s="10">
        <f t="shared" si="11"/>
        <v>0</v>
      </c>
    </row>
    <row r="377" spans="2:15">
      <c r="B377" s="96" t="s">
        <v>1748</v>
      </c>
      <c r="C377" s="86"/>
      <c r="D377" s="89"/>
      <c r="E377" s="89" t="s">
        <v>1717</v>
      </c>
      <c r="F377" s="89"/>
      <c r="G377" s="86" t="s">
        <v>2461</v>
      </c>
      <c r="H377" s="89"/>
      <c r="I377" s="89"/>
      <c r="J377" s="89"/>
      <c r="K377" s="89"/>
      <c r="L377" s="89"/>
      <c r="M377" s="89"/>
      <c r="N377" s="89"/>
      <c r="O377" s="10">
        <f t="shared" si="11"/>
        <v>0</v>
      </c>
    </row>
    <row r="378" spans="2:15">
      <c r="B378" s="96" t="s">
        <v>1748</v>
      </c>
      <c r="C378" s="86"/>
      <c r="D378" s="89"/>
      <c r="E378" s="89" t="s">
        <v>1718</v>
      </c>
      <c r="F378" s="89"/>
      <c r="G378" s="86" t="s">
        <v>2461</v>
      </c>
      <c r="H378" s="89"/>
      <c r="I378" s="89"/>
      <c r="J378" s="89"/>
      <c r="K378" s="89"/>
      <c r="L378" s="89"/>
      <c r="M378" s="89"/>
      <c r="N378" s="89"/>
      <c r="O378" s="10">
        <f t="shared" si="11"/>
        <v>0</v>
      </c>
    </row>
    <row r="379" spans="2:15">
      <c r="B379" s="96" t="s">
        <v>1748</v>
      </c>
      <c r="C379" s="86"/>
      <c r="D379" s="89"/>
      <c r="E379" s="89" t="s">
        <v>1719</v>
      </c>
      <c r="F379" s="89"/>
      <c r="G379" s="86" t="s">
        <v>2461</v>
      </c>
      <c r="H379" s="89"/>
      <c r="I379" s="89"/>
      <c r="J379" s="89"/>
      <c r="K379" s="89"/>
      <c r="L379" s="89"/>
      <c r="M379" s="89"/>
      <c r="N379" s="89"/>
      <c r="O379" s="10">
        <f t="shared" si="11"/>
        <v>0</v>
      </c>
    </row>
    <row r="380" spans="2:15">
      <c r="B380" s="96" t="s">
        <v>1748</v>
      </c>
      <c r="C380" s="86"/>
      <c r="D380" s="89"/>
      <c r="E380" s="89" t="s">
        <v>1720</v>
      </c>
      <c r="F380" s="89"/>
      <c r="G380" s="86" t="s">
        <v>2461</v>
      </c>
      <c r="H380" s="89"/>
      <c r="I380" s="89"/>
      <c r="J380" s="89"/>
      <c r="K380" s="89"/>
      <c r="L380" s="89"/>
      <c r="M380" s="89"/>
      <c r="N380" s="89"/>
      <c r="O380" s="10">
        <f t="shared" si="11"/>
        <v>0</v>
      </c>
    </row>
    <row r="381" spans="2:15">
      <c r="B381" s="96" t="s">
        <v>1748</v>
      </c>
      <c r="C381" s="86"/>
      <c r="D381" s="89"/>
      <c r="E381" s="89" t="s">
        <v>1721</v>
      </c>
      <c r="F381" s="89"/>
      <c r="G381" s="86" t="s">
        <v>2461</v>
      </c>
      <c r="H381" s="89"/>
      <c r="I381" s="89"/>
      <c r="J381" s="89"/>
      <c r="K381" s="89"/>
      <c r="L381" s="89"/>
      <c r="M381" s="89"/>
      <c r="N381" s="89"/>
      <c r="O381" s="10">
        <f t="shared" si="11"/>
        <v>0</v>
      </c>
    </row>
    <row r="382" spans="2:15">
      <c r="B382" s="96" t="s">
        <v>1748</v>
      </c>
      <c r="C382" s="86"/>
      <c r="D382" s="89"/>
      <c r="E382" s="89" t="s">
        <v>1722</v>
      </c>
      <c r="F382" s="89"/>
      <c r="G382" s="86" t="s">
        <v>2461</v>
      </c>
      <c r="H382" s="89"/>
      <c r="I382" s="89"/>
      <c r="J382" s="89"/>
      <c r="K382" s="89"/>
      <c r="L382" s="89"/>
      <c r="M382" s="89"/>
      <c r="N382" s="89"/>
      <c r="O382" s="10">
        <f t="shared" si="11"/>
        <v>0</v>
      </c>
    </row>
    <row r="383" spans="2:15">
      <c r="B383" s="96" t="s">
        <v>1748</v>
      </c>
      <c r="C383" s="86"/>
      <c r="D383" s="89"/>
      <c r="E383" s="89" t="s">
        <v>1723</v>
      </c>
      <c r="F383" s="89"/>
      <c r="G383" s="86" t="s">
        <v>2461</v>
      </c>
      <c r="H383" s="89"/>
      <c r="I383" s="89"/>
      <c r="J383" s="89"/>
      <c r="K383" s="89"/>
      <c r="L383" s="89"/>
      <c r="M383" s="89"/>
      <c r="N383" s="89"/>
      <c r="O383" s="10">
        <f t="shared" si="11"/>
        <v>0</v>
      </c>
    </row>
    <row r="384" spans="2:15">
      <c r="B384" s="96" t="s">
        <v>1748</v>
      </c>
      <c r="C384" s="86"/>
      <c r="D384" s="89"/>
      <c r="E384" s="89" t="s">
        <v>1724</v>
      </c>
      <c r="F384" s="89"/>
      <c r="G384" s="86" t="s">
        <v>2461</v>
      </c>
      <c r="H384" s="89"/>
      <c r="I384" s="89"/>
      <c r="J384" s="89"/>
      <c r="K384" s="89"/>
      <c r="L384" s="89"/>
      <c r="M384" s="89"/>
      <c r="N384" s="89"/>
      <c r="O384" s="10">
        <f t="shared" si="11"/>
        <v>0</v>
      </c>
    </row>
    <row r="385" spans="2:15">
      <c r="B385" s="96" t="s">
        <v>1748</v>
      </c>
      <c r="C385" s="86"/>
      <c r="D385" s="89"/>
      <c r="E385" s="89" t="s">
        <v>1725</v>
      </c>
      <c r="F385" s="89"/>
      <c r="G385" s="86" t="s">
        <v>2461</v>
      </c>
      <c r="H385" s="89"/>
      <c r="I385" s="89"/>
      <c r="J385" s="89"/>
      <c r="K385" s="89"/>
      <c r="L385" s="89"/>
      <c r="M385" s="89"/>
      <c r="N385" s="89"/>
      <c r="O385" s="10">
        <f t="shared" ref="O385:O414" si="12">F385*N385</f>
        <v>0</v>
      </c>
    </row>
    <row r="386" spans="2:15">
      <c r="B386" s="96" t="s">
        <v>1748</v>
      </c>
      <c r="C386" s="86"/>
      <c r="D386" s="89"/>
      <c r="E386" s="89" t="s">
        <v>1726</v>
      </c>
      <c r="F386" s="89"/>
      <c r="G386" s="86" t="s">
        <v>2461</v>
      </c>
      <c r="H386" s="89"/>
      <c r="I386" s="89"/>
      <c r="J386" s="89"/>
      <c r="K386" s="89"/>
      <c r="L386" s="89"/>
      <c r="M386" s="89"/>
      <c r="N386" s="89"/>
      <c r="O386" s="10">
        <f t="shared" si="12"/>
        <v>0</v>
      </c>
    </row>
    <row r="387" spans="2:15">
      <c r="B387" s="96" t="s">
        <v>1748</v>
      </c>
      <c r="C387" s="86"/>
      <c r="D387" s="89"/>
      <c r="E387" s="89" t="s">
        <v>1727</v>
      </c>
      <c r="F387" s="89"/>
      <c r="G387" s="86" t="s">
        <v>2461</v>
      </c>
      <c r="H387" s="89"/>
      <c r="I387" s="89"/>
      <c r="J387" s="89"/>
      <c r="K387" s="89"/>
      <c r="L387" s="89"/>
      <c r="M387" s="89"/>
      <c r="N387" s="89"/>
      <c r="O387" s="10">
        <f t="shared" si="12"/>
        <v>0</v>
      </c>
    </row>
    <row r="388" spans="2:15" ht="30.75">
      <c r="B388" s="96" t="s">
        <v>1748</v>
      </c>
      <c r="C388" s="86"/>
      <c r="D388" s="89"/>
      <c r="E388" s="89" t="s">
        <v>2210</v>
      </c>
      <c r="F388" s="89"/>
      <c r="G388" s="86" t="s">
        <v>2461</v>
      </c>
      <c r="H388" s="89"/>
      <c r="I388" s="89"/>
      <c r="J388" s="89"/>
      <c r="K388" s="89"/>
      <c r="L388" s="89"/>
      <c r="M388" s="89"/>
      <c r="N388" s="89"/>
      <c r="O388" s="10">
        <f t="shared" si="12"/>
        <v>0</v>
      </c>
    </row>
    <row r="389" spans="2:15">
      <c r="B389" s="96" t="s">
        <v>1748</v>
      </c>
      <c r="C389" s="86"/>
      <c r="D389" s="89"/>
      <c r="E389" s="89" t="s">
        <v>2211</v>
      </c>
      <c r="F389" s="89"/>
      <c r="G389" s="86" t="s">
        <v>2461</v>
      </c>
      <c r="H389" s="89"/>
      <c r="I389" s="89"/>
      <c r="J389" s="89"/>
      <c r="K389" s="89"/>
      <c r="L389" s="89"/>
      <c r="M389" s="89"/>
      <c r="N389" s="89"/>
      <c r="O389" s="10">
        <f t="shared" si="12"/>
        <v>0</v>
      </c>
    </row>
    <row r="390" spans="2:15">
      <c r="B390" s="96" t="s">
        <v>1748</v>
      </c>
      <c r="C390" s="86"/>
      <c r="D390" s="89"/>
      <c r="E390" s="89" t="s">
        <v>2212</v>
      </c>
      <c r="F390" s="89"/>
      <c r="G390" s="86" t="s">
        <v>2461</v>
      </c>
      <c r="H390" s="89"/>
      <c r="I390" s="89"/>
      <c r="J390" s="89"/>
      <c r="K390" s="89"/>
      <c r="L390" s="89"/>
      <c r="M390" s="89"/>
      <c r="N390" s="89"/>
      <c r="O390" s="10">
        <f t="shared" si="12"/>
        <v>0</v>
      </c>
    </row>
    <row r="391" spans="2:15">
      <c r="B391" s="96" t="s">
        <v>1748</v>
      </c>
      <c r="C391" s="86"/>
      <c r="D391" s="89"/>
      <c r="E391" s="89" t="s">
        <v>2213</v>
      </c>
      <c r="F391" s="89"/>
      <c r="G391" s="86" t="s">
        <v>2461</v>
      </c>
      <c r="H391" s="89"/>
      <c r="I391" s="89"/>
      <c r="J391" s="89"/>
      <c r="K391" s="89"/>
      <c r="L391" s="89"/>
      <c r="M391" s="89"/>
      <c r="N391" s="89"/>
      <c r="O391" s="10">
        <f t="shared" si="12"/>
        <v>0</v>
      </c>
    </row>
    <row r="392" spans="2:15">
      <c r="B392" s="96" t="s">
        <v>1748</v>
      </c>
      <c r="C392" s="86"/>
      <c r="D392" s="89"/>
      <c r="E392" s="89" t="s">
        <v>1728</v>
      </c>
      <c r="F392" s="89"/>
      <c r="G392" s="86" t="s">
        <v>2461</v>
      </c>
      <c r="H392" s="89"/>
      <c r="I392" s="89"/>
      <c r="J392" s="89"/>
      <c r="K392" s="89"/>
      <c r="L392" s="89"/>
      <c r="M392" s="89"/>
      <c r="N392" s="89"/>
      <c r="O392" s="10">
        <f t="shared" si="12"/>
        <v>0</v>
      </c>
    </row>
    <row r="393" spans="2:15" ht="30.75">
      <c r="B393" s="96" t="s">
        <v>1748</v>
      </c>
      <c r="C393" s="86"/>
      <c r="D393" s="89"/>
      <c r="E393" s="89" t="s">
        <v>2214</v>
      </c>
      <c r="F393" s="89"/>
      <c r="G393" s="86" t="s">
        <v>2461</v>
      </c>
      <c r="H393" s="89"/>
      <c r="I393" s="89"/>
      <c r="J393" s="89"/>
      <c r="K393" s="89"/>
      <c r="L393" s="89"/>
      <c r="M393" s="89"/>
      <c r="N393" s="89"/>
      <c r="O393" s="10">
        <f t="shared" si="12"/>
        <v>0</v>
      </c>
    </row>
    <row r="394" spans="2:15" ht="30.75">
      <c r="B394" s="96" t="s">
        <v>1748</v>
      </c>
      <c r="C394" s="86"/>
      <c r="D394" s="89"/>
      <c r="E394" s="89" t="s">
        <v>2215</v>
      </c>
      <c r="F394" s="89"/>
      <c r="G394" s="86" t="s">
        <v>2461</v>
      </c>
      <c r="H394" s="89"/>
      <c r="I394" s="89"/>
      <c r="J394" s="89"/>
      <c r="K394" s="89"/>
      <c r="L394" s="89"/>
      <c r="M394" s="89"/>
      <c r="N394" s="89"/>
      <c r="O394" s="10">
        <f t="shared" si="12"/>
        <v>0</v>
      </c>
    </row>
    <row r="395" spans="2:15">
      <c r="B395" s="96" t="s">
        <v>1748</v>
      </c>
      <c r="C395" s="86"/>
      <c r="D395" s="89"/>
      <c r="E395" s="89" t="s">
        <v>1729</v>
      </c>
      <c r="F395" s="89"/>
      <c r="G395" s="86" t="s">
        <v>2461</v>
      </c>
      <c r="H395" s="89"/>
      <c r="I395" s="89"/>
      <c r="J395" s="89"/>
      <c r="K395" s="89"/>
      <c r="L395" s="89"/>
      <c r="M395" s="89"/>
      <c r="N395" s="89"/>
      <c r="O395" s="10">
        <f t="shared" si="12"/>
        <v>0</v>
      </c>
    </row>
    <row r="396" spans="2:15" ht="30.75">
      <c r="B396" s="96" t="s">
        <v>1748</v>
      </c>
      <c r="C396" s="86"/>
      <c r="D396" s="89"/>
      <c r="E396" s="89" t="s">
        <v>2216</v>
      </c>
      <c r="F396" s="89"/>
      <c r="G396" s="86" t="s">
        <v>2461</v>
      </c>
      <c r="H396" s="89"/>
      <c r="I396" s="89"/>
      <c r="J396" s="89"/>
      <c r="K396" s="89"/>
      <c r="L396" s="89"/>
      <c r="M396" s="89"/>
      <c r="N396" s="89"/>
      <c r="O396" s="10">
        <f t="shared" si="12"/>
        <v>0</v>
      </c>
    </row>
    <row r="397" spans="2:15">
      <c r="B397" s="96" t="s">
        <v>1748</v>
      </c>
      <c r="C397" s="86"/>
      <c r="D397" s="89"/>
      <c r="E397" s="89" t="s">
        <v>1730</v>
      </c>
      <c r="F397" s="89"/>
      <c r="G397" s="86" t="s">
        <v>2461</v>
      </c>
      <c r="H397" s="89"/>
      <c r="I397" s="89"/>
      <c r="J397" s="89"/>
      <c r="K397" s="89"/>
      <c r="L397" s="89"/>
      <c r="M397" s="89"/>
      <c r="N397" s="89"/>
      <c r="O397" s="10">
        <f t="shared" si="12"/>
        <v>0</v>
      </c>
    </row>
    <row r="398" spans="2:15">
      <c r="B398" s="96" t="s">
        <v>1748</v>
      </c>
      <c r="C398" s="86"/>
      <c r="D398" s="89"/>
      <c r="E398" s="89" t="s">
        <v>1731</v>
      </c>
      <c r="F398" s="89"/>
      <c r="G398" s="86" t="s">
        <v>2461</v>
      </c>
      <c r="H398" s="89"/>
      <c r="I398" s="89"/>
      <c r="J398" s="89"/>
      <c r="K398" s="89"/>
      <c r="L398" s="89"/>
      <c r="M398" s="89"/>
      <c r="N398" s="89"/>
      <c r="O398" s="10">
        <f t="shared" si="12"/>
        <v>0</v>
      </c>
    </row>
    <row r="399" spans="2:15">
      <c r="B399" s="96" t="s">
        <v>1748</v>
      </c>
      <c r="C399" s="86"/>
      <c r="D399" s="89"/>
      <c r="E399" s="89" t="s">
        <v>1732</v>
      </c>
      <c r="F399" s="89"/>
      <c r="G399" s="86" t="s">
        <v>2461</v>
      </c>
      <c r="H399" s="89"/>
      <c r="I399" s="89"/>
      <c r="J399" s="89"/>
      <c r="K399" s="89"/>
      <c r="L399" s="89"/>
      <c r="M399" s="89"/>
      <c r="N399" s="89"/>
      <c r="O399" s="10">
        <f t="shared" si="12"/>
        <v>0</v>
      </c>
    </row>
    <row r="400" spans="2:15">
      <c r="B400" s="96" t="s">
        <v>1748</v>
      </c>
      <c r="C400" s="86"/>
      <c r="D400" s="89"/>
      <c r="E400" s="89" t="s">
        <v>1733</v>
      </c>
      <c r="F400" s="89"/>
      <c r="G400" s="86" t="s">
        <v>2461</v>
      </c>
      <c r="H400" s="89"/>
      <c r="I400" s="89"/>
      <c r="J400" s="89"/>
      <c r="K400" s="89"/>
      <c r="L400" s="89"/>
      <c r="M400" s="89"/>
      <c r="N400" s="89"/>
      <c r="O400" s="10">
        <f t="shared" si="12"/>
        <v>0</v>
      </c>
    </row>
    <row r="401" spans="1:15">
      <c r="B401" s="96" t="s">
        <v>1748</v>
      </c>
      <c r="C401" s="86"/>
      <c r="D401" s="89"/>
      <c r="E401" s="89" t="s">
        <v>1734</v>
      </c>
      <c r="F401" s="89"/>
      <c r="G401" s="86" t="s">
        <v>2461</v>
      </c>
      <c r="H401" s="89"/>
      <c r="I401" s="89"/>
      <c r="J401" s="89"/>
      <c r="K401" s="89"/>
      <c r="L401" s="89"/>
      <c r="M401" s="89"/>
      <c r="N401" s="89"/>
      <c r="O401" s="10">
        <f t="shared" si="12"/>
        <v>0</v>
      </c>
    </row>
    <row r="402" spans="1:15">
      <c r="B402" s="96" t="s">
        <v>1748</v>
      </c>
      <c r="C402" s="86"/>
      <c r="D402" s="89"/>
      <c r="E402" s="89" t="s">
        <v>2217</v>
      </c>
      <c r="F402" s="89"/>
      <c r="G402" s="86" t="s">
        <v>2461</v>
      </c>
      <c r="H402" s="89"/>
      <c r="I402" s="89"/>
      <c r="J402" s="89"/>
      <c r="K402" s="89"/>
      <c r="L402" s="89"/>
      <c r="M402" s="89"/>
      <c r="N402" s="89"/>
      <c r="O402" s="10">
        <f t="shared" si="12"/>
        <v>0</v>
      </c>
    </row>
    <row r="403" spans="1:15">
      <c r="B403" s="96" t="s">
        <v>1735</v>
      </c>
      <c r="C403" s="86"/>
      <c r="D403" s="89"/>
      <c r="E403" s="89" t="s">
        <v>2218</v>
      </c>
      <c r="F403" s="89"/>
      <c r="G403" s="86" t="s">
        <v>2461</v>
      </c>
      <c r="H403" s="89"/>
      <c r="I403" s="89"/>
      <c r="J403" s="89"/>
      <c r="K403" s="89"/>
      <c r="L403" s="89"/>
      <c r="M403" s="89"/>
      <c r="N403" s="89"/>
      <c r="O403" s="10">
        <f t="shared" si="12"/>
        <v>0</v>
      </c>
    </row>
    <row r="404" spans="1:15">
      <c r="B404" s="96" t="s">
        <v>1735</v>
      </c>
      <c r="C404" s="86"/>
      <c r="D404" s="89"/>
      <c r="E404" s="89" t="s">
        <v>1736</v>
      </c>
      <c r="F404" s="89"/>
      <c r="G404" s="86" t="s">
        <v>2461</v>
      </c>
      <c r="H404" s="89"/>
      <c r="I404" s="89"/>
      <c r="J404" s="89"/>
      <c r="K404" s="89"/>
      <c r="L404" s="89"/>
      <c r="M404" s="89"/>
      <c r="N404" s="89"/>
      <c r="O404" s="10">
        <f t="shared" si="12"/>
        <v>0</v>
      </c>
    </row>
    <row r="405" spans="1:15">
      <c r="B405" s="96" t="s">
        <v>1735</v>
      </c>
      <c r="C405" s="86"/>
      <c r="D405" s="89"/>
      <c r="E405" s="89" t="s">
        <v>1737</v>
      </c>
      <c r="F405" s="89"/>
      <c r="G405" s="86" t="s">
        <v>2461</v>
      </c>
      <c r="H405" s="89"/>
      <c r="I405" s="89"/>
      <c r="J405" s="89"/>
      <c r="K405" s="89"/>
      <c r="L405" s="89"/>
      <c r="M405" s="89"/>
      <c r="N405" s="89"/>
      <c r="O405" s="10">
        <f t="shared" si="12"/>
        <v>0</v>
      </c>
    </row>
    <row r="406" spans="1:15">
      <c r="B406" s="96" t="s">
        <v>1735</v>
      </c>
      <c r="C406" s="86"/>
      <c r="D406" s="89"/>
      <c r="E406" s="89" t="s">
        <v>1738</v>
      </c>
      <c r="F406" s="89"/>
      <c r="G406" s="86" t="s">
        <v>2461</v>
      </c>
      <c r="H406" s="89"/>
      <c r="I406" s="89"/>
      <c r="J406" s="89"/>
      <c r="K406" s="89"/>
      <c r="L406" s="89"/>
      <c r="M406" s="89"/>
      <c r="N406" s="89"/>
      <c r="O406" s="10">
        <f t="shared" si="12"/>
        <v>0</v>
      </c>
    </row>
    <row r="407" spans="1:15">
      <c r="B407" s="96" t="s">
        <v>1735</v>
      </c>
      <c r="C407" s="86"/>
      <c r="D407" s="89"/>
      <c r="E407" s="89" t="s">
        <v>1739</v>
      </c>
      <c r="F407" s="89"/>
      <c r="G407" s="86" t="s">
        <v>2461</v>
      </c>
      <c r="H407" s="89"/>
      <c r="I407" s="89"/>
      <c r="J407" s="89"/>
      <c r="K407" s="89"/>
      <c r="L407" s="89"/>
      <c r="M407" s="89"/>
      <c r="N407" s="89"/>
      <c r="O407" s="10">
        <f t="shared" si="12"/>
        <v>0</v>
      </c>
    </row>
    <row r="408" spans="1:15">
      <c r="B408" s="96" t="s">
        <v>1735</v>
      </c>
      <c r="C408" s="86"/>
      <c r="D408" s="89"/>
      <c r="E408" s="89" t="s">
        <v>1740</v>
      </c>
      <c r="F408" s="89"/>
      <c r="G408" s="86" t="s">
        <v>2461</v>
      </c>
      <c r="H408" s="89"/>
      <c r="I408" s="89"/>
      <c r="J408" s="89"/>
      <c r="K408" s="89"/>
      <c r="L408" s="89"/>
      <c r="M408" s="89"/>
      <c r="N408" s="89"/>
      <c r="O408" s="10">
        <f t="shared" si="12"/>
        <v>0</v>
      </c>
    </row>
    <row r="409" spans="1:15">
      <c r="B409" s="96" t="s">
        <v>1741</v>
      </c>
      <c r="C409" s="86"/>
      <c r="D409" s="89"/>
      <c r="E409" s="89" t="s">
        <v>1742</v>
      </c>
      <c r="F409" s="89"/>
      <c r="G409" s="86" t="s">
        <v>2461</v>
      </c>
      <c r="H409" s="89"/>
      <c r="I409" s="89"/>
      <c r="J409" s="89"/>
      <c r="K409" s="89"/>
      <c r="L409" s="89"/>
      <c r="M409" s="89"/>
      <c r="N409" s="89"/>
      <c r="O409" s="10">
        <f t="shared" si="12"/>
        <v>0</v>
      </c>
    </row>
    <row r="410" spans="1:15">
      <c r="B410" s="96" t="s">
        <v>1741</v>
      </c>
      <c r="C410" s="86"/>
      <c r="D410" s="89"/>
      <c r="E410" s="89" t="s">
        <v>1743</v>
      </c>
      <c r="F410" s="89"/>
      <c r="G410" s="86" t="s">
        <v>2461</v>
      </c>
      <c r="H410" s="89"/>
      <c r="I410" s="89"/>
      <c r="J410" s="89"/>
      <c r="K410" s="89"/>
      <c r="L410" s="89"/>
      <c r="M410" s="89"/>
      <c r="N410" s="89"/>
      <c r="O410" s="10">
        <f t="shared" si="12"/>
        <v>0</v>
      </c>
    </row>
    <row r="411" spans="1:15">
      <c r="B411" s="96" t="s">
        <v>1741</v>
      </c>
      <c r="C411" s="86"/>
      <c r="D411" s="89"/>
      <c r="E411" s="89" t="s">
        <v>2219</v>
      </c>
      <c r="F411" s="89"/>
      <c r="G411" s="86" t="s">
        <v>2461</v>
      </c>
      <c r="H411" s="89"/>
      <c r="I411" s="89"/>
      <c r="J411" s="89"/>
      <c r="K411" s="89"/>
      <c r="L411" s="89"/>
      <c r="M411" s="89"/>
      <c r="N411" s="89"/>
      <c r="O411" s="10">
        <f t="shared" si="12"/>
        <v>0</v>
      </c>
    </row>
    <row r="412" spans="1:15">
      <c r="B412" s="96" t="s">
        <v>1744</v>
      </c>
      <c r="C412" s="86"/>
      <c r="D412" s="89"/>
      <c r="E412" s="89" t="s">
        <v>1745</v>
      </c>
      <c r="F412" s="89"/>
      <c r="G412" s="86" t="s">
        <v>2461</v>
      </c>
      <c r="H412" s="89"/>
      <c r="I412" s="89"/>
      <c r="J412" s="89"/>
      <c r="K412" s="89"/>
      <c r="L412" s="89"/>
      <c r="M412" s="89"/>
      <c r="N412" s="89"/>
      <c r="O412" s="10">
        <f t="shared" si="12"/>
        <v>0</v>
      </c>
    </row>
    <row r="413" spans="1:15">
      <c r="B413" s="96" t="s">
        <v>1744</v>
      </c>
      <c r="C413" s="86"/>
      <c r="D413" s="89"/>
      <c r="E413" s="89" t="s">
        <v>1746</v>
      </c>
      <c r="F413" s="89"/>
      <c r="G413" s="86" t="s">
        <v>2461</v>
      </c>
      <c r="H413" s="89"/>
      <c r="I413" s="89"/>
      <c r="J413" s="89"/>
      <c r="K413" s="89"/>
      <c r="L413" s="89"/>
      <c r="M413" s="89"/>
      <c r="N413" s="89"/>
      <c r="O413" s="10">
        <f t="shared" si="12"/>
        <v>0</v>
      </c>
    </row>
    <row r="414" spans="1:15">
      <c r="B414" s="96" t="s">
        <v>1744</v>
      </c>
      <c r="C414" s="86"/>
      <c r="D414" s="89"/>
      <c r="E414" s="89" t="s">
        <v>1747</v>
      </c>
      <c r="F414" s="89"/>
      <c r="G414" s="86" t="s">
        <v>2461</v>
      </c>
      <c r="H414" s="89"/>
      <c r="I414" s="89"/>
      <c r="J414" s="89"/>
      <c r="K414" s="89"/>
      <c r="L414" s="89"/>
      <c r="M414" s="89"/>
      <c r="N414" s="89"/>
      <c r="O414" s="10">
        <f t="shared" si="12"/>
        <v>0</v>
      </c>
    </row>
    <row r="416" spans="1:15" s="7" customFormat="1">
      <c r="A416" s="67" t="s">
        <v>1832</v>
      </c>
      <c r="B416" s="126" t="s">
        <v>1802</v>
      </c>
      <c r="C416" s="2" t="s">
        <v>2161</v>
      </c>
      <c r="D416" s="2">
        <v>4</v>
      </c>
      <c r="E416" s="2" t="s">
        <v>2383</v>
      </c>
      <c r="F416" s="2">
        <v>0.5</v>
      </c>
      <c r="G416" s="2" t="s">
        <v>21</v>
      </c>
      <c r="H416" s="2"/>
      <c r="I416" s="2"/>
      <c r="J416" s="2"/>
      <c r="K416" s="2"/>
      <c r="L416" s="2"/>
      <c r="M416" s="15"/>
      <c r="N416" s="10">
        <f>27*4</f>
        <v>108</v>
      </c>
      <c r="O416" s="10">
        <f t="shared" ref="O416:O454" si="13">F416*N416</f>
        <v>54</v>
      </c>
    </row>
    <row r="417" spans="1:15">
      <c r="B417" s="96" t="s">
        <v>1751</v>
      </c>
      <c r="C417" s="86" t="s">
        <v>14</v>
      </c>
      <c r="D417" s="89"/>
      <c r="E417" s="86" t="s">
        <v>1752</v>
      </c>
      <c r="F417" s="86">
        <v>0.25</v>
      </c>
      <c r="G417" s="86" t="s">
        <v>143</v>
      </c>
      <c r="H417" s="86"/>
      <c r="I417" s="86"/>
      <c r="J417" s="86"/>
      <c r="K417" s="86"/>
      <c r="L417" s="86"/>
      <c r="M417" s="86"/>
      <c r="N417" s="88"/>
      <c r="O417" s="10">
        <f t="shared" si="13"/>
        <v>0</v>
      </c>
    </row>
    <row r="418" spans="1:15">
      <c r="B418" s="96" t="s">
        <v>1753</v>
      </c>
      <c r="C418" s="86" t="s">
        <v>14</v>
      </c>
      <c r="D418" s="89"/>
      <c r="E418" s="86" t="s">
        <v>1754</v>
      </c>
      <c r="F418" s="86">
        <v>0.25</v>
      </c>
      <c r="G418" s="86" t="s">
        <v>143</v>
      </c>
      <c r="H418" s="86"/>
      <c r="I418" s="86"/>
      <c r="J418" s="86"/>
      <c r="K418" s="86"/>
      <c r="L418" s="86"/>
      <c r="M418" s="86"/>
      <c r="N418" s="88"/>
      <c r="O418" s="10">
        <f t="shared" si="13"/>
        <v>0</v>
      </c>
    </row>
    <row r="419" spans="1:15">
      <c r="B419" s="96" t="s">
        <v>1755</v>
      </c>
      <c r="C419" s="86" t="s">
        <v>20</v>
      </c>
      <c r="D419" s="89"/>
      <c r="E419" s="86" t="s">
        <v>1756</v>
      </c>
      <c r="F419" s="86">
        <v>0.5</v>
      </c>
      <c r="G419" s="86" t="s">
        <v>143</v>
      </c>
      <c r="H419" s="86"/>
      <c r="I419" s="86"/>
      <c r="J419" s="86"/>
      <c r="K419" s="86"/>
      <c r="L419" s="86"/>
      <c r="M419" s="86"/>
      <c r="N419" s="88">
        <v>90</v>
      </c>
      <c r="O419" s="10">
        <f t="shared" si="13"/>
        <v>45</v>
      </c>
    </row>
    <row r="420" spans="1:15">
      <c r="B420" s="96" t="s">
        <v>1757</v>
      </c>
      <c r="C420" s="86" t="s">
        <v>20</v>
      </c>
      <c r="D420" s="89"/>
      <c r="E420" s="86" t="s">
        <v>1758</v>
      </c>
      <c r="F420" s="86">
        <v>0.5</v>
      </c>
      <c r="G420" s="86" t="s">
        <v>143</v>
      </c>
      <c r="H420" s="86"/>
      <c r="I420" s="86"/>
      <c r="J420" s="86"/>
      <c r="K420" s="86"/>
      <c r="L420" s="86"/>
      <c r="M420" s="86"/>
      <c r="N420" s="88">
        <v>200</v>
      </c>
      <c r="O420" s="10">
        <f t="shared" si="13"/>
        <v>100</v>
      </c>
    </row>
    <row r="421" spans="1:15">
      <c r="B421" s="96" t="s">
        <v>1759</v>
      </c>
      <c r="C421" s="86" t="s">
        <v>14</v>
      </c>
      <c r="D421" s="89"/>
      <c r="E421" s="86" t="s">
        <v>1760</v>
      </c>
      <c r="F421" s="86"/>
      <c r="G421" s="86" t="s">
        <v>143</v>
      </c>
      <c r="H421" s="86"/>
      <c r="I421" s="86"/>
      <c r="J421" s="86"/>
      <c r="K421" s="86"/>
      <c r="L421" s="86"/>
      <c r="M421" s="86"/>
      <c r="N421" s="88"/>
      <c r="O421" s="10">
        <f t="shared" si="13"/>
        <v>0</v>
      </c>
    </row>
    <row r="422" spans="1:15">
      <c r="B422" s="96" t="s">
        <v>1761</v>
      </c>
      <c r="C422" s="86" t="s">
        <v>20</v>
      </c>
      <c r="D422" s="89"/>
      <c r="E422" s="86" t="s">
        <v>1762</v>
      </c>
      <c r="F422" s="86"/>
      <c r="G422" s="86"/>
      <c r="H422" s="86"/>
      <c r="I422" s="86"/>
      <c r="J422" s="86"/>
      <c r="K422" s="86"/>
      <c r="L422" s="86"/>
      <c r="M422" s="86"/>
      <c r="N422" s="88"/>
      <c r="O422" s="10">
        <f t="shared" si="13"/>
        <v>0</v>
      </c>
    </row>
    <row r="423" spans="1:15">
      <c r="B423" s="96" t="s">
        <v>1809</v>
      </c>
      <c r="C423" s="86" t="s">
        <v>2161</v>
      </c>
      <c r="D423" s="89"/>
      <c r="E423" s="86" t="s">
        <v>1810</v>
      </c>
      <c r="F423" s="86">
        <v>0.5</v>
      </c>
      <c r="G423" s="86" t="s">
        <v>21</v>
      </c>
      <c r="H423" s="86"/>
      <c r="I423" s="86"/>
      <c r="J423" s="86"/>
      <c r="K423" s="86"/>
      <c r="L423" s="88"/>
      <c r="M423" s="88"/>
      <c r="N423" s="89"/>
      <c r="O423" s="10">
        <f t="shared" si="13"/>
        <v>0</v>
      </c>
    </row>
    <row r="424" spans="1:15">
      <c r="B424" s="96" t="s">
        <v>1142</v>
      </c>
      <c r="C424" s="86" t="s">
        <v>20</v>
      </c>
      <c r="D424" s="89"/>
      <c r="E424" s="86" t="s">
        <v>1763</v>
      </c>
      <c r="F424" s="86"/>
      <c r="G424" s="86" t="s">
        <v>143</v>
      </c>
      <c r="H424" s="86"/>
      <c r="I424" s="86"/>
      <c r="J424" s="86"/>
      <c r="K424" s="86"/>
      <c r="L424" s="86"/>
      <c r="M424" s="86"/>
      <c r="N424" s="88"/>
      <c r="O424" s="10">
        <f t="shared" si="13"/>
        <v>0</v>
      </c>
    </row>
    <row r="425" spans="1:15">
      <c r="B425" s="96" t="s">
        <v>1764</v>
      </c>
      <c r="C425" s="86" t="s">
        <v>14</v>
      </c>
      <c r="D425" s="89"/>
      <c r="E425" s="86" t="s">
        <v>1765</v>
      </c>
      <c r="F425" s="86"/>
      <c r="G425" s="86" t="s">
        <v>21</v>
      </c>
      <c r="H425" s="86"/>
      <c r="I425" s="86"/>
      <c r="J425" s="86"/>
      <c r="K425" s="86"/>
      <c r="L425" s="86"/>
      <c r="M425" s="86"/>
      <c r="N425" s="88"/>
      <c r="O425" s="10">
        <f t="shared" si="13"/>
        <v>0</v>
      </c>
    </row>
    <row r="426" spans="1:15">
      <c r="B426" s="96" t="s">
        <v>1766</v>
      </c>
      <c r="C426" s="86" t="s">
        <v>204</v>
      </c>
      <c r="D426" s="89"/>
      <c r="E426" s="86" t="s">
        <v>1767</v>
      </c>
      <c r="F426" s="86"/>
      <c r="G426" s="86" t="s">
        <v>143</v>
      </c>
      <c r="H426" s="86"/>
      <c r="I426" s="86"/>
      <c r="J426" s="86"/>
      <c r="K426" s="86"/>
      <c r="L426" s="86"/>
      <c r="M426" s="86"/>
      <c r="N426" s="88"/>
      <c r="O426" s="10">
        <f t="shared" si="13"/>
        <v>0</v>
      </c>
    </row>
    <row r="427" spans="1:15">
      <c r="B427" s="96" t="s">
        <v>1768</v>
      </c>
      <c r="C427" s="86" t="s">
        <v>14</v>
      </c>
      <c r="D427" s="89"/>
      <c r="E427" s="86" t="s">
        <v>1769</v>
      </c>
      <c r="F427" s="86"/>
      <c r="G427" s="86" t="s">
        <v>143</v>
      </c>
      <c r="H427" s="86"/>
      <c r="I427" s="86"/>
      <c r="J427" s="86"/>
      <c r="K427" s="86"/>
      <c r="L427" s="86"/>
      <c r="M427" s="86"/>
      <c r="N427" s="88"/>
      <c r="O427" s="10">
        <f t="shared" si="13"/>
        <v>0</v>
      </c>
    </row>
    <row r="428" spans="1:15">
      <c r="B428" s="96" t="s">
        <v>1817</v>
      </c>
      <c r="C428" s="86" t="s">
        <v>2161</v>
      </c>
      <c r="D428" s="89"/>
      <c r="E428" s="86" t="s">
        <v>1818</v>
      </c>
      <c r="F428" s="86">
        <v>0.5</v>
      </c>
      <c r="G428" s="86" t="s">
        <v>21</v>
      </c>
      <c r="H428" s="86"/>
      <c r="I428" s="86"/>
      <c r="J428" s="86"/>
      <c r="K428" s="86"/>
      <c r="L428" s="88"/>
      <c r="M428" s="88"/>
      <c r="N428" s="89"/>
      <c r="O428" s="10">
        <f t="shared" si="13"/>
        <v>0</v>
      </c>
    </row>
    <row r="429" spans="1:15">
      <c r="B429" s="96" t="s">
        <v>1770</v>
      </c>
      <c r="C429" s="86" t="s">
        <v>14</v>
      </c>
      <c r="D429" s="89"/>
      <c r="E429" s="86" t="s">
        <v>1771</v>
      </c>
      <c r="F429" s="86"/>
      <c r="G429" s="86" t="s">
        <v>143</v>
      </c>
      <c r="H429" s="86"/>
      <c r="I429" s="86"/>
      <c r="J429" s="86"/>
      <c r="K429" s="86"/>
      <c r="L429" s="86"/>
      <c r="M429" s="86"/>
      <c r="N429" s="88"/>
      <c r="O429" s="10">
        <f t="shared" si="13"/>
        <v>0</v>
      </c>
    </row>
    <row r="430" spans="1:15">
      <c r="B430" s="96" t="s">
        <v>1772</v>
      </c>
      <c r="C430" s="86" t="s">
        <v>20</v>
      </c>
      <c r="D430" s="89"/>
      <c r="E430" s="86" t="s">
        <v>1773</v>
      </c>
      <c r="F430" s="86"/>
      <c r="G430" s="86" t="s">
        <v>143</v>
      </c>
      <c r="H430" s="86"/>
      <c r="I430" s="86"/>
      <c r="J430" s="86"/>
      <c r="K430" s="86"/>
      <c r="L430" s="86"/>
      <c r="M430" s="86"/>
      <c r="N430" s="88"/>
      <c r="O430" s="10">
        <f t="shared" si="13"/>
        <v>0</v>
      </c>
    </row>
    <row r="431" spans="1:15" s="7" customFormat="1">
      <c r="A431" s="11"/>
      <c r="B431" s="126" t="s">
        <v>1819</v>
      </c>
      <c r="C431" s="2" t="s">
        <v>2057</v>
      </c>
      <c r="D431" s="2">
        <v>1</v>
      </c>
      <c r="E431" s="2" t="s">
        <v>1820</v>
      </c>
      <c r="F431" s="2">
        <v>0.75</v>
      </c>
      <c r="G431" s="2" t="s">
        <v>17</v>
      </c>
      <c r="H431" s="2"/>
      <c r="I431" s="2"/>
      <c r="J431" s="2"/>
      <c r="K431" s="2"/>
      <c r="L431" s="2"/>
      <c r="M431" s="15"/>
      <c r="N431" s="10"/>
      <c r="O431" s="10">
        <f t="shared" si="13"/>
        <v>0</v>
      </c>
    </row>
    <row r="432" spans="1:15">
      <c r="B432" s="96" t="s">
        <v>1774</v>
      </c>
      <c r="C432" s="86" t="s">
        <v>20</v>
      </c>
      <c r="D432" s="89"/>
      <c r="E432" s="86" t="s">
        <v>1775</v>
      </c>
      <c r="F432" s="86"/>
      <c r="G432" s="86" t="s">
        <v>1776</v>
      </c>
      <c r="H432" s="86"/>
      <c r="I432" s="86"/>
      <c r="J432" s="86"/>
      <c r="K432" s="86"/>
      <c r="L432" s="86"/>
      <c r="M432" s="89"/>
      <c r="N432" s="86"/>
      <c r="O432" s="10">
        <f t="shared" si="13"/>
        <v>0</v>
      </c>
    </row>
    <row r="433" spans="1:15" s="7" customFormat="1">
      <c r="A433" s="11"/>
      <c r="B433" s="126" t="s">
        <v>1813</v>
      </c>
      <c r="C433" s="2" t="s">
        <v>2161</v>
      </c>
      <c r="D433" s="2">
        <v>1</v>
      </c>
      <c r="E433" s="2" t="s">
        <v>1814</v>
      </c>
      <c r="F433" s="2">
        <v>0.75</v>
      </c>
      <c r="G433" s="2" t="s">
        <v>17</v>
      </c>
      <c r="H433" s="2"/>
      <c r="I433" s="2"/>
      <c r="J433" s="2"/>
      <c r="K433" s="2"/>
      <c r="L433" s="2"/>
      <c r="M433" s="15"/>
      <c r="N433" s="10">
        <f>7.49*1.5</f>
        <v>11.234999999999999</v>
      </c>
      <c r="O433" s="10">
        <f t="shared" si="13"/>
        <v>8.4262499999999996</v>
      </c>
    </row>
    <row r="434" spans="1:15" s="7" customFormat="1">
      <c r="A434" s="11"/>
      <c r="B434" s="126" t="s">
        <v>1826</v>
      </c>
      <c r="C434" s="2" t="s">
        <v>2161</v>
      </c>
      <c r="D434" s="2">
        <v>1</v>
      </c>
      <c r="E434" s="2" t="s">
        <v>1827</v>
      </c>
      <c r="F434" s="2">
        <v>0.5</v>
      </c>
      <c r="G434" s="2" t="s">
        <v>21</v>
      </c>
      <c r="H434" s="2"/>
      <c r="I434" s="2"/>
      <c r="J434" s="2"/>
      <c r="K434" s="2"/>
      <c r="L434" s="2"/>
      <c r="M434" s="15"/>
      <c r="N434" s="19"/>
      <c r="O434" s="10">
        <f t="shared" si="13"/>
        <v>0</v>
      </c>
    </row>
    <row r="435" spans="1:15" s="7" customFormat="1">
      <c r="A435" s="11"/>
      <c r="B435" s="126" t="s">
        <v>568</v>
      </c>
      <c r="C435" s="2" t="s">
        <v>2161</v>
      </c>
      <c r="D435" s="2">
        <v>1</v>
      </c>
      <c r="E435" s="2" t="s">
        <v>1808</v>
      </c>
      <c r="F435" s="2">
        <v>0.25</v>
      </c>
      <c r="G435" s="2" t="s">
        <v>143</v>
      </c>
      <c r="H435" s="2"/>
      <c r="I435" s="2"/>
      <c r="J435" s="2"/>
      <c r="K435" s="2"/>
      <c r="L435" s="2"/>
      <c r="M435" s="15"/>
      <c r="N435" s="10"/>
      <c r="O435" s="10">
        <f t="shared" si="13"/>
        <v>0</v>
      </c>
    </row>
    <row r="436" spans="1:15" s="7" customFormat="1">
      <c r="A436" s="11"/>
      <c r="B436" s="126" t="s">
        <v>1826</v>
      </c>
      <c r="C436" s="2" t="s">
        <v>2161</v>
      </c>
      <c r="D436" s="2">
        <v>1</v>
      </c>
      <c r="E436" s="2" t="s">
        <v>1828</v>
      </c>
      <c r="F436" s="2">
        <v>0.75</v>
      </c>
      <c r="G436" s="2" t="s">
        <v>17</v>
      </c>
      <c r="H436" s="2"/>
      <c r="I436" s="2"/>
      <c r="J436" s="2"/>
      <c r="K436" s="2"/>
      <c r="L436" s="2"/>
      <c r="M436" s="15"/>
      <c r="N436" s="19"/>
      <c r="O436" s="10">
        <f t="shared" si="13"/>
        <v>0</v>
      </c>
    </row>
    <row r="437" spans="1:15" s="7" customFormat="1">
      <c r="A437" s="11"/>
      <c r="B437" s="126" t="s">
        <v>1829</v>
      </c>
      <c r="C437" s="2" t="s">
        <v>2161</v>
      </c>
      <c r="D437" s="2">
        <v>30</v>
      </c>
      <c r="E437" s="2" t="s">
        <v>2385</v>
      </c>
      <c r="F437" s="2">
        <v>0.5</v>
      </c>
      <c r="G437" s="2" t="s">
        <v>21</v>
      </c>
      <c r="H437" s="2"/>
      <c r="I437" s="2"/>
      <c r="J437" s="2"/>
      <c r="K437" s="2"/>
      <c r="L437" s="2"/>
      <c r="M437" s="15"/>
      <c r="N437" s="19"/>
      <c r="O437" s="10">
        <f t="shared" si="13"/>
        <v>0</v>
      </c>
    </row>
    <row r="438" spans="1:15" s="7" customFormat="1">
      <c r="A438" s="11"/>
      <c r="B438" s="126" t="s">
        <v>1830</v>
      </c>
      <c r="C438" s="2" t="s">
        <v>2161</v>
      </c>
      <c r="D438" s="2">
        <v>1</v>
      </c>
      <c r="E438" s="2" t="s">
        <v>1831</v>
      </c>
      <c r="F438" s="2">
        <v>0.75</v>
      </c>
      <c r="G438" s="2" t="s">
        <v>17</v>
      </c>
      <c r="H438" s="2"/>
      <c r="I438" s="2"/>
      <c r="J438" s="2"/>
      <c r="K438" s="2"/>
      <c r="L438" s="2"/>
      <c r="M438" s="15"/>
      <c r="N438" s="19"/>
      <c r="O438" s="10">
        <f t="shared" si="13"/>
        <v>0</v>
      </c>
    </row>
    <row r="439" spans="1:15" ht="30.75">
      <c r="B439" s="96" t="s">
        <v>38</v>
      </c>
      <c r="C439" s="86" t="s">
        <v>2161</v>
      </c>
      <c r="D439" s="89"/>
      <c r="E439" s="86" t="s">
        <v>1821</v>
      </c>
      <c r="F439" s="86">
        <v>0.25</v>
      </c>
      <c r="G439" s="86" t="s">
        <v>143</v>
      </c>
      <c r="H439" s="86"/>
      <c r="I439" s="86"/>
      <c r="J439" s="86"/>
      <c r="K439" s="86"/>
      <c r="L439" s="88"/>
      <c r="M439" s="88"/>
      <c r="N439" s="89"/>
      <c r="O439" s="10">
        <f t="shared" si="13"/>
        <v>0</v>
      </c>
    </row>
    <row r="440" spans="1:15">
      <c r="B440" s="96" t="s">
        <v>1777</v>
      </c>
      <c r="C440" s="86" t="s">
        <v>20</v>
      </c>
      <c r="D440" s="89"/>
      <c r="E440" s="86" t="s">
        <v>1778</v>
      </c>
      <c r="F440" s="86"/>
      <c r="G440" s="86" t="s">
        <v>21</v>
      </c>
      <c r="H440" s="86"/>
      <c r="I440" s="86"/>
      <c r="J440" s="86"/>
      <c r="K440" s="86"/>
      <c r="L440" s="86"/>
      <c r="M440" s="86"/>
      <c r="N440" s="88"/>
      <c r="O440" s="10">
        <f t="shared" si="13"/>
        <v>0</v>
      </c>
    </row>
    <row r="441" spans="1:15">
      <c r="B441" s="96" t="s">
        <v>1447</v>
      </c>
      <c r="C441" s="86" t="s">
        <v>20</v>
      </c>
      <c r="D441" s="89"/>
      <c r="E441" s="86" t="s">
        <v>1779</v>
      </c>
      <c r="F441" s="86"/>
      <c r="G441" s="86" t="s">
        <v>21</v>
      </c>
      <c r="H441" s="86"/>
      <c r="I441" s="86"/>
      <c r="J441" s="86"/>
      <c r="K441" s="86"/>
      <c r="L441" s="86"/>
      <c r="M441" s="86"/>
      <c r="N441" s="88"/>
      <c r="O441" s="10">
        <f t="shared" si="13"/>
        <v>0</v>
      </c>
    </row>
    <row r="442" spans="1:15">
      <c r="B442" s="96" t="s">
        <v>1780</v>
      </c>
      <c r="C442" s="86" t="s">
        <v>20</v>
      </c>
      <c r="D442" s="89"/>
      <c r="E442" s="86" t="s">
        <v>1781</v>
      </c>
      <c r="F442" s="86"/>
      <c r="G442" s="86" t="s">
        <v>21</v>
      </c>
      <c r="H442" s="86"/>
      <c r="I442" s="86"/>
      <c r="J442" s="86"/>
      <c r="K442" s="86"/>
      <c r="L442" s="86"/>
      <c r="M442" s="86"/>
      <c r="N442" s="88"/>
      <c r="O442" s="10">
        <f t="shared" si="13"/>
        <v>0</v>
      </c>
    </row>
    <row r="443" spans="1:15">
      <c r="B443" s="96" t="s">
        <v>1782</v>
      </c>
      <c r="C443" s="86" t="s">
        <v>20</v>
      </c>
      <c r="D443" s="89"/>
      <c r="E443" s="86" t="s">
        <v>1783</v>
      </c>
      <c r="F443" s="86"/>
      <c r="G443" s="86" t="s">
        <v>21</v>
      </c>
      <c r="H443" s="86"/>
      <c r="I443" s="86"/>
      <c r="J443" s="86"/>
      <c r="K443" s="86"/>
      <c r="L443" s="86"/>
      <c r="M443" s="86"/>
      <c r="N443" s="86"/>
      <c r="O443" s="10">
        <f t="shared" si="13"/>
        <v>0</v>
      </c>
    </row>
    <row r="444" spans="1:15">
      <c r="B444" s="96" t="s">
        <v>1784</v>
      </c>
      <c r="C444" s="86" t="s">
        <v>20</v>
      </c>
      <c r="D444" s="89"/>
      <c r="E444" s="86" t="s">
        <v>1785</v>
      </c>
      <c r="F444" s="86">
        <v>0.75</v>
      </c>
      <c r="G444" s="86" t="s">
        <v>21</v>
      </c>
      <c r="H444" s="86"/>
      <c r="I444" s="86"/>
      <c r="J444" s="86"/>
      <c r="K444" s="86"/>
      <c r="L444" s="86"/>
      <c r="M444" s="86"/>
      <c r="N444" s="88">
        <v>100</v>
      </c>
      <c r="O444" s="10">
        <f t="shared" si="13"/>
        <v>75</v>
      </c>
    </row>
    <row r="445" spans="1:15">
      <c r="B445" s="96" t="s">
        <v>1823</v>
      </c>
      <c r="C445" s="86" t="s">
        <v>2161</v>
      </c>
      <c r="D445" s="89"/>
      <c r="E445" s="86" t="s">
        <v>1824</v>
      </c>
      <c r="F445" s="86">
        <v>1</v>
      </c>
      <c r="G445" s="86" t="s">
        <v>59</v>
      </c>
      <c r="H445" s="86"/>
      <c r="I445" s="86"/>
      <c r="J445" s="86"/>
      <c r="K445" s="86"/>
      <c r="L445" s="88"/>
      <c r="M445" s="88"/>
      <c r="N445" s="89"/>
      <c r="O445" s="10">
        <f t="shared" si="13"/>
        <v>0</v>
      </c>
    </row>
    <row r="446" spans="1:15">
      <c r="B446" s="96" t="s">
        <v>1786</v>
      </c>
      <c r="C446" s="86" t="s">
        <v>14</v>
      </c>
      <c r="D446" s="89"/>
      <c r="E446" s="86" t="s">
        <v>1787</v>
      </c>
      <c r="F446" s="86"/>
      <c r="G446" s="86" t="s">
        <v>143</v>
      </c>
      <c r="H446" s="86"/>
      <c r="I446" s="86"/>
      <c r="J446" s="86"/>
      <c r="K446" s="86"/>
      <c r="L446" s="86"/>
      <c r="M446" s="86"/>
      <c r="N446" s="88"/>
      <c r="O446" s="10">
        <f t="shared" si="13"/>
        <v>0</v>
      </c>
    </row>
    <row r="447" spans="1:15">
      <c r="B447" s="96" t="s">
        <v>1788</v>
      </c>
      <c r="C447" s="86" t="s">
        <v>20</v>
      </c>
      <c r="D447" s="89"/>
      <c r="E447" s="86" t="s">
        <v>1789</v>
      </c>
      <c r="F447" s="86"/>
      <c r="G447" s="86" t="s">
        <v>143</v>
      </c>
      <c r="H447" s="86"/>
      <c r="I447" s="86"/>
      <c r="J447" s="86"/>
      <c r="K447" s="86"/>
      <c r="L447" s="86"/>
      <c r="M447" s="86"/>
      <c r="N447" s="88"/>
      <c r="O447" s="10">
        <f t="shared" si="13"/>
        <v>0</v>
      </c>
    </row>
    <row r="448" spans="1:15">
      <c r="B448" s="96" t="s">
        <v>1790</v>
      </c>
      <c r="C448" s="86" t="s">
        <v>20</v>
      </c>
      <c r="D448" s="89"/>
      <c r="E448" s="86" t="s">
        <v>1791</v>
      </c>
      <c r="F448" s="86"/>
      <c r="G448" s="86" t="s">
        <v>143</v>
      </c>
      <c r="H448" s="86"/>
      <c r="I448" s="86"/>
      <c r="J448" s="86"/>
      <c r="K448" s="86"/>
      <c r="L448" s="86"/>
      <c r="M448" s="86"/>
      <c r="N448" s="88"/>
      <c r="O448" s="10">
        <f t="shared" si="13"/>
        <v>0</v>
      </c>
    </row>
    <row r="449" spans="1:15">
      <c r="B449" s="96" t="s">
        <v>1792</v>
      </c>
      <c r="C449" s="86" t="s">
        <v>20</v>
      </c>
      <c r="D449" s="89"/>
      <c r="E449" s="86" t="s">
        <v>1793</v>
      </c>
      <c r="F449" s="86"/>
      <c r="G449" s="86" t="s">
        <v>59</v>
      </c>
      <c r="H449" s="86"/>
      <c r="I449" s="86"/>
      <c r="J449" s="86"/>
      <c r="K449" s="86"/>
      <c r="L449" s="86"/>
      <c r="M449" s="86"/>
      <c r="N449" s="86"/>
      <c r="O449" s="10">
        <f t="shared" si="13"/>
        <v>0</v>
      </c>
    </row>
    <row r="450" spans="1:15" ht="30.75">
      <c r="B450" s="96" t="s">
        <v>1794</v>
      </c>
      <c r="C450" s="86" t="s">
        <v>20</v>
      </c>
      <c r="D450" s="89"/>
      <c r="E450" s="86" t="s">
        <v>1795</v>
      </c>
      <c r="F450" s="86"/>
      <c r="G450" s="86" t="s">
        <v>143</v>
      </c>
      <c r="H450" s="86"/>
      <c r="I450" s="86"/>
      <c r="J450" s="86"/>
      <c r="K450" s="86"/>
      <c r="L450" s="86"/>
      <c r="M450" s="86"/>
      <c r="N450" s="88"/>
      <c r="O450" s="10">
        <f t="shared" si="13"/>
        <v>0</v>
      </c>
    </row>
    <row r="451" spans="1:15">
      <c r="B451" s="96" t="s">
        <v>1796</v>
      </c>
      <c r="C451" s="86" t="s">
        <v>20</v>
      </c>
      <c r="D451" s="89"/>
      <c r="E451" s="86" t="s">
        <v>1797</v>
      </c>
      <c r="F451" s="86"/>
      <c r="G451" s="86" t="s">
        <v>17</v>
      </c>
      <c r="H451" s="86"/>
      <c r="I451" s="86"/>
      <c r="J451" s="86"/>
      <c r="K451" s="86"/>
      <c r="L451" s="86"/>
      <c r="M451" s="86"/>
      <c r="N451" s="86"/>
      <c r="O451" s="10">
        <f t="shared" si="13"/>
        <v>0</v>
      </c>
    </row>
    <row r="452" spans="1:15">
      <c r="B452" s="96" t="s">
        <v>1798</v>
      </c>
      <c r="C452" s="86" t="s">
        <v>14</v>
      </c>
      <c r="D452" s="89"/>
      <c r="E452" s="86" t="s">
        <v>1799</v>
      </c>
      <c r="F452" s="86">
        <v>0.5</v>
      </c>
      <c r="G452" s="86" t="s">
        <v>21</v>
      </c>
      <c r="H452" s="86"/>
      <c r="I452" s="86"/>
      <c r="J452" s="86"/>
      <c r="K452" s="86"/>
      <c r="L452" s="86"/>
      <c r="M452" s="86"/>
      <c r="N452" s="88"/>
      <c r="O452" s="10">
        <f t="shared" si="13"/>
        <v>0</v>
      </c>
    </row>
    <row r="453" spans="1:15">
      <c r="B453" s="96" t="s">
        <v>1800</v>
      </c>
      <c r="C453" s="86" t="s">
        <v>14</v>
      </c>
      <c r="D453" s="89"/>
      <c r="E453" s="86" t="s">
        <v>1801</v>
      </c>
      <c r="F453" s="86"/>
      <c r="G453" s="86" t="s">
        <v>21</v>
      </c>
      <c r="H453" s="86"/>
      <c r="I453" s="86"/>
      <c r="J453" s="86"/>
      <c r="K453" s="86"/>
      <c r="L453" s="86"/>
      <c r="M453" s="86"/>
      <c r="N453" s="88"/>
      <c r="O453" s="10">
        <f t="shared" si="13"/>
        <v>0</v>
      </c>
    </row>
    <row r="454" spans="1:15" ht="30.75">
      <c r="B454" s="96" t="s">
        <v>1803</v>
      </c>
      <c r="C454" s="86" t="s">
        <v>14</v>
      </c>
      <c r="D454" s="89"/>
      <c r="E454" s="86" t="s">
        <v>1804</v>
      </c>
      <c r="F454" s="86">
        <v>0.5</v>
      </c>
      <c r="G454" s="86" t="s">
        <v>1805</v>
      </c>
      <c r="H454" s="86"/>
      <c r="I454" s="86"/>
      <c r="J454" s="86"/>
      <c r="K454" s="86"/>
      <c r="L454" s="86"/>
      <c r="M454" s="86"/>
      <c r="N454" s="88"/>
      <c r="O454" s="10">
        <f t="shared" si="13"/>
        <v>0</v>
      </c>
    </row>
    <row r="457" spans="1:15">
      <c r="A457" s="92" t="s">
        <v>1846</v>
      </c>
      <c r="B457" s="96" t="s">
        <v>1860</v>
      </c>
      <c r="C457" s="86" t="s">
        <v>20</v>
      </c>
      <c r="D457" s="86">
        <v>10</v>
      </c>
      <c r="E457" s="86" t="s">
        <v>1861</v>
      </c>
      <c r="F457" s="86">
        <v>0.75</v>
      </c>
      <c r="G457" s="86" t="s">
        <v>143</v>
      </c>
      <c r="H457" s="86"/>
      <c r="I457" s="86"/>
      <c r="J457" s="86"/>
      <c r="K457" s="86"/>
      <c r="L457" s="86"/>
      <c r="M457" s="86"/>
      <c r="N457" s="88"/>
      <c r="O457" s="10">
        <f t="shared" ref="O457:O467" si="14">F457*N457</f>
        <v>0</v>
      </c>
    </row>
    <row r="458" spans="1:15">
      <c r="B458" s="96" t="s">
        <v>1847</v>
      </c>
      <c r="C458" s="86" t="s">
        <v>2161</v>
      </c>
      <c r="D458" s="86">
        <v>4</v>
      </c>
      <c r="E458" s="86" t="s">
        <v>1848</v>
      </c>
      <c r="F458" s="86">
        <v>0.5</v>
      </c>
      <c r="G458" s="86" t="s">
        <v>21</v>
      </c>
      <c r="H458" s="86"/>
      <c r="I458" s="86"/>
      <c r="J458" s="86"/>
      <c r="K458" s="86"/>
      <c r="L458" s="89"/>
      <c r="M458" s="89"/>
      <c r="N458" s="88">
        <f>89*4</f>
        <v>356</v>
      </c>
      <c r="O458" s="10">
        <f t="shared" si="14"/>
        <v>178</v>
      </c>
    </row>
    <row r="459" spans="1:15">
      <c r="B459" s="96" t="s">
        <v>1849</v>
      </c>
      <c r="C459" s="86" t="s">
        <v>2161</v>
      </c>
      <c r="D459" s="86">
        <v>11</v>
      </c>
      <c r="E459" s="86" t="s">
        <v>1850</v>
      </c>
      <c r="F459" s="86">
        <v>0.5</v>
      </c>
      <c r="G459" s="86" t="s">
        <v>21</v>
      </c>
      <c r="H459" s="86"/>
      <c r="I459" s="86"/>
      <c r="J459" s="86"/>
      <c r="K459" s="86"/>
      <c r="L459" s="89"/>
      <c r="M459" s="89"/>
      <c r="N459" s="88">
        <f>50*10</f>
        <v>500</v>
      </c>
      <c r="O459" s="10">
        <f t="shared" si="14"/>
        <v>250</v>
      </c>
    </row>
    <row r="460" spans="1:15">
      <c r="B460" s="96" t="s">
        <v>1851</v>
      </c>
      <c r="C460" s="86" t="s">
        <v>2161</v>
      </c>
      <c r="D460" s="86">
        <v>4</v>
      </c>
      <c r="E460" s="86" t="s">
        <v>1852</v>
      </c>
      <c r="F460" s="86">
        <v>0.5</v>
      </c>
      <c r="G460" s="86" t="s">
        <v>21</v>
      </c>
      <c r="H460" s="86"/>
      <c r="I460" s="86"/>
      <c r="J460" s="86"/>
      <c r="K460" s="86"/>
      <c r="L460" s="89"/>
      <c r="M460" s="89"/>
      <c r="N460" s="88">
        <f>25*3</f>
        <v>75</v>
      </c>
      <c r="O460" s="10">
        <f t="shared" si="14"/>
        <v>37.5</v>
      </c>
    </row>
    <row r="461" spans="1:15">
      <c r="B461" s="96" t="s">
        <v>1853</v>
      </c>
      <c r="C461" s="86" t="s">
        <v>2161</v>
      </c>
      <c r="D461" s="86">
        <v>1</v>
      </c>
      <c r="E461" s="86" t="s">
        <v>1854</v>
      </c>
      <c r="F461" s="86">
        <v>0.25</v>
      </c>
      <c r="G461" s="86" t="s">
        <v>143</v>
      </c>
      <c r="H461" s="86"/>
      <c r="I461" s="86"/>
      <c r="J461" s="86"/>
      <c r="K461" s="86"/>
      <c r="L461" s="88"/>
      <c r="M461" s="88"/>
      <c r="N461" s="89"/>
      <c r="O461" s="10">
        <f t="shared" si="14"/>
        <v>0</v>
      </c>
    </row>
    <row r="462" spans="1:15">
      <c r="B462" s="96" t="s">
        <v>1855</v>
      </c>
      <c r="C462" s="86" t="s">
        <v>2161</v>
      </c>
      <c r="D462" s="86">
        <v>2</v>
      </c>
      <c r="E462" s="86" t="s">
        <v>1856</v>
      </c>
      <c r="F462" s="86">
        <v>0.75</v>
      </c>
      <c r="G462" s="86" t="s">
        <v>16</v>
      </c>
      <c r="H462" s="86"/>
      <c r="I462" s="86"/>
      <c r="J462" s="86"/>
      <c r="K462" s="86"/>
      <c r="L462" s="88"/>
      <c r="M462" s="88"/>
      <c r="N462" s="89"/>
      <c r="O462" s="10">
        <f t="shared" si="14"/>
        <v>0</v>
      </c>
    </row>
    <row r="463" spans="1:15">
      <c r="B463" s="96" t="s">
        <v>1857</v>
      </c>
      <c r="C463" s="86" t="s">
        <v>2161</v>
      </c>
      <c r="D463" s="86">
        <v>1</v>
      </c>
      <c r="E463" s="86" t="s">
        <v>1858</v>
      </c>
      <c r="F463" s="86">
        <v>0.75</v>
      </c>
      <c r="G463" s="86" t="s">
        <v>17</v>
      </c>
      <c r="H463" s="86"/>
      <c r="I463" s="86"/>
      <c r="J463" s="86"/>
      <c r="K463" s="86"/>
      <c r="L463" s="88"/>
      <c r="M463" s="88"/>
      <c r="N463" s="89"/>
      <c r="O463" s="10">
        <f t="shared" si="14"/>
        <v>0</v>
      </c>
    </row>
    <row r="464" spans="1:15">
      <c r="B464" s="96" t="s">
        <v>1862</v>
      </c>
      <c r="C464" s="86" t="s">
        <v>20</v>
      </c>
      <c r="D464" s="86"/>
      <c r="E464" s="86" t="s">
        <v>1863</v>
      </c>
      <c r="F464" s="86">
        <v>0.5</v>
      </c>
      <c r="G464" s="86" t="s">
        <v>21</v>
      </c>
      <c r="H464" s="86"/>
      <c r="I464" s="86"/>
      <c r="J464" s="86"/>
      <c r="K464" s="86"/>
      <c r="L464" s="86"/>
      <c r="M464" s="86"/>
      <c r="N464" s="88"/>
      <c r="O464" s="10">
        <f t="shared" si="14"/>
        <v>0</v>
      </c>
    </row>
    <row r="465" spans="1:15">
      <c r="B465" s="96" t="s">
        <v>1864</v>
      </c>
      <c r="C465" s="86" t="s">
        <v>20</v>
      </c>
      <c r="D465" s="86">
        <v>8</v>
      </c>
      <c r="E465" s="86" t="s">
        <v>1865</v>
      </c>
      <c r="F465" s="86">
        <v>0.5</v>
      </c>
      <c r="G465" s="86" t="s">
        <v>46</v>
      </c>
      <c r="H465" s="86" t="s">
        <v>1866</v>
      </c>
      <c r="I465" s="86"/>
      <c r="J465" s="86"/>
      <c r="K465" s="86"/>
      <c r="L465" s="86"/>
      <c r="M465" s="86"/>
      <c r="N465" s="88"/>
      <c r="O465" s="10">
        <f t="shared" si="14"/>
        <v>0</v>
      </c>
    </row>
    <row r="466" spans="1:15">
      <c r="B466" s="96" t="s">
        <v>1867</v>
      </c>
      <c r="C466" s="86" t="s">
        <v>14</v>
      </c>
      <c r="D466" s="86"/>
      <c r="E466" s="86" t="s">
        <v>1868</v>
      </c>
      <c r="F466" s="86">
        <v>0.5</v>
      </c>
      <c r="G466" s="86" t="s">
        <v>143</v>
      </c>
      <c r="H466" s="86"/>
      <c r="I466" s="86"/>
      <c r="J466" s="86"/>
      <c r="K466" s="86"/>
      <c r="L466" s="86"/>
      <c r="M466" s="86"/>
      <c r="N466" s="88"/>
      <c r="O466" s="10">
        <f t="shared" si="14"/>
        <v>0</v>
      </c>
    </row>
    <row r="467" spans="1:15">
      <c r="B467" s="96" t="s">
        <v>1869</v>
      </c>
      <c r="C467" s="86" t="s">
        <v>20</v>
      </c>
      <c r="D467" s="86">
        <v>13</v>
      </c>
      <c r="E467" s="86"/>
      <c r="F467" s="86"/>
      <c r="G467" s="86"/>
      <c r="H467" s="86"/>
      <c r="I467" s="86"/>
      <c r="J467" s="86"/>
      <c r="K467" s="86"/>
      <c r="L467" s="86"/>
      <c r="M467" s="86"/>
      <c r="N467" s="86"/>
      <c r="O467" s="10">
        <f t="shared" si="14"/>
        <v>0</v>
      </c>
    </row>
    <row r="469" spans="1:15" ht="18" customHeight="1">
      <c r="A469" s="97" t="s">
        <v>1879</v>
      </c>
      <c r="B469" s="96" t="s">
        <v>867</v>
      </c>
      <c r="C469" s="86" t="s">
        <v>95</v>
      </c>
      <c r="D469" s="86">
        <v>16</v>
      </c>
      <c r="E469" s="86" t="s">
        <v>1880</v>
      </c>
      <c r="F469" s="86">
        <v>0.5</v>
      </c>
      <c r="G469" s="86" t="s">
        <v>21</v>
      </c>
      <c r="H469" s="86"/>
      <c r="I469" s="86"/>
      <c r="J469" s="86"/>
      <c r="K469" s="86"/>
      <c r="L469" s="86"/>
      <c r="M469" s="86"/>
      <c r="N469" s="88"/>
      <c r="O469" s="10">
        <f t="shared" ref="O469:O477" si="15">F469*N469</f>
        <v>0</v>
      </c>
    </row>
    <row r="470" spans="1:15" ht="18" customHeight="1">
      <c r="A470" s="97"/>
      <c r="B470" s="96" t="s">
        <v>462</v>
      </c>
      <c r="C470" s="86" t="s">
        <v>14</v>
      </c>
      <c r="D470" s="86">
        <v>8</v>
      </c>
      <c r="E470" s="86" t="s">
        <v>1881</v>
      </c>
      <c r="F470" s="86">
        <v>0.5</v>
      </c>
      <c r="G470" s="86" t="s">
        <v>21</v>
      </c>
      <c r="H470" s="86"/>
      <c r="I470" s="86"/>
      <c r="J470" s="86"/>
      <c r="K470" s="86"/>
      <c r="L470" s="86"/>
      <c r="M470" s="86"/>
      <c r="N470" s="88">
        <v>240</v>
      </c>
      <c r="O470" s="10">
        <f t="shared" si="15"/>
        <v>120</v>
      </c>
    </row>
    <row r="471" spans="1:15" ht="18" customHeight="1">
      <c r="B471" s="96" t="s">
        <v>1869</v>
      </c>
      <c r="C471" s="86" t="s">
        <v>14</v>
      </c>
      <c r="D471" s="86">
        <v>13</v>
      </c>
      <c r="E471" s="86" t="s">
        <v>1882</v>
      </c>
      <c r="F471" s="86">
        <v>1</v>
      </c>
      <c r="G471" s="86" t="s">
        <v>59</v>
      </c>
      <c r="H471" s="86"/>
      <c r="I471" s="86"/>
      <c r="J471" s="86"/>
      <c r="K471" s="86"/>
      <c r="L471" s="86"/>
      <c r="M471" s="86"/>
      <c r="N471" s="88"/>
      <c r="O471" s="10">
        <f t="shared" si="15"/>
        <v>0</v>
      </c>
    </row>
    <row r="472" spans="1:15" ht="18" customHeight="1">
      <c r="B472" s="96" t="s">
        <v>650</v>
      </c>
      <c r="C472" s="86" t="s">
        <v>204</v>
      </c>
      <c r="D472" s="86">
        <v>8</v>
      </c>
      <c r="E472" s="86" t="s">
        <v>1883</v>
      </c>
      <c r="F472" s="86">
        <v>0.25</v>
      </c>
      <c r="G472" s="86" t="s">
        <v>143</v>
      </c>
      <c r="H472" s="86"/>
      <c r="I472" s="86"/>
      <c r="J472" s="86"/>
      <c r="K472" s="86"/>
      <c r="L472" s="86"/>
      <c r="M472" s="86"/>
      <c r="N472" s="88"/>
      <c r="O472" s="10">
        <f t="shared" si="15"/>
        <v>0</v>
      </c>
    </row>
    <row r="473" spans="1:15" ht="18" customHeight="1">
      <c r="B473" s="96" t="s">
        <v>1285</v>
      </c>
      <c r="C473" s="86" t="s">
        <v>204</v>
      </c>
      <c r="D473" s="86">
        <v>8</v>
      </c>
      <c r="E473" s="86" t="s">
        <v>1884</v>
      </c>
      <c r="F473" s="86">
        <v>0.25</v>
      </c>
      <c r="G473" s="86" t="s">
        <v>143</v>
      </c>
      <c r="H473" s="86"/>
      <c r="I473" s="86"/>
      <c r="J473" s="86"/>
      <c r="K473" s="86"/>
      <c r="L473" s="86"/>
      <c r="M473" s="86"/>
      <c r="N473" s="88"/>
      <c r="O473" s="10">
        <f t="shared" si="15"/>
        <v>0</v>
      </c>
    </row>
    <row r="474" spans="1:15" ht="18" customHeight="1">
      <c r="B474" s="96" t="s">
        <v>1885</v>
      </c>
      <c r="C474" s="86" t="s">
        <v>204</v>
      </c>
      <c r="D474" s="86">
        <v>4</v>
      </c>
      <c r="E474" s="86" t="s">
        <v>1886</v>
      </c>
      <c r="F474" s="86">
        <v>1</v>
      </c>
      <c r="G474" s="86" t="s">
        <v>59</v>
      </c>
      <c r="H474" s="86"/>
      <c r="I474" s="86"/>
      <c r="J474" s="86"/>
      <c r="K474" s="86"/>
      <c r="L474" s="86"/>
      <c r="M474" s="86"/>
      <c r="N474" s="88">
        <v>80</v>
      </c>
      <c r="O474" s="10">
        <f t="shared" si="15"/>
        <v>80</v>
      </c>
    </row>
    <row r="475" spans="1:15" ht="38.25" customHeight="1">
      <c r="B475" s="96" t="s">
        <v>1887</v>
      </c>
      <c r="C475" s="86" t="s">
        <v>20</v>
      </c>
      <c r="D475" s="86">
        <v>4</v>
      </c>
      <c r="E475" s="86" t="s">
        <v>1888</v>
      </c>
      <c r="F475" s="86">
        <v>1</v>
      </c>
      <c r="G475" s="86" t="s">
        <v>59</v>
      </c>
      <c r="H475" s="86"/>
      <c r="I475" s="86"/>
      <c r="J475" s="86"/>
      <c r="K475" s="86"/>
      <c r="L475" s="86"/>
      <c r="M475" s="86"/>
      <c r="N475" s="88"/>
      <c r="O475" s="10">
        <f t="shared" si="15"/>
        <v>0</v>
      </c>
    </row>
    <row r="476" spans="1:15" ht="18" customHeight="1">
      <c r="B476" s="96" t="s">
        <v>1889</v>
      </c>
      <c r="C476" s="86" t="s">
        <v>20</v>
      </c>
      <c r="D476" s="86">
        <v>5</v>
      </c>
      <c r="E476" s="86" t="s">
        <v>1890</v>
      </c>
      <c r="F476" s="86">
        <v>0.25</v>
      </c>
      <c r="G476" s="86" t="s">
        <v>143</v>
      </c>
      <c r="H476" s="86"/>
      <c r="I476" s="86"/>
      <c r="J476" s="86"/>
      <c r="K476" s="86"/>
      <c r="L476" s="86"/>
      <c r="M476" s="86"/>
      <c r="N476" s="88">
        <v>1000</v>
      </c>
      <c r="O476" s="10">
        <f t="shared" si="15"/>
        <v>250</v>
      </c>
    </row>
    <row r="477" spans="1:15" ht="18" customHeight="1">
      <c r="A477" s="92" t="s">
        <v>612</v>
      </c>
      <c r="B477" s="96" t="s">
        <v>1891</v>
      </c>
      <c r="C477" s="86" t="s">
        <v>95</v>
      </c>
      <c r="D477" s="86"/>
      <c r="E477" s="86" t="s">
        <v>1892</v>
      </c>
      <c r="F477" s="86">
        <v>0.25</v>
      </c>
      <c r="G477" s="86" t="s">
        <v>143</v>
      </c>
      <c r="H477" s="86"/>
      <c r="I477" s="86"/>
      <c r="J477" s="86"/>
      <c r="K477" s="86"/>
      <c r="L477" s="86"/>
      <c r="M477" s="86"/>
      <c r="N477" s="88">
        <v>100</v>
      </c>
      <c r="O477" s="10">
        <f t="shared" si="15"/>
        <v>25</v>
      </c>
    </row>
    <row r="478" spans="1:15" ht="18" customHeight="1">
      <c r="B478" s="96" t="s">
        <v>1893</v>
      </c>
      <c r="C478" s="86" t="s">
        <v>20</v>
      </c>
      <c r="D478" s="86"/>
      <c r="E478" s="86" t="s">
        <v>1894</v>
      </c>
      <c r="F478" s="86">
        <v>0.75</v>
      </c>
      <c r="G478" s="86" t="s">
        <v>17</v>
      </c>
      <c r="H478" s="86"/>
      <c r="I478" s="86"/>
      <c r="J478" s="86"/>
      <c r="K478" s="86"/>
      <c r="L478" s="86"/>
      <c r="M478" s="86"/>
      <c r="N478" s="88"/>
      <c r="O478" s="10">
        <f>F478*N478</f>
        <v>0</v>
      </c>
    </row>
    <row r="479" spans="1:15" ht="18" customHeight="1">
      <c r="B479" s="96" t="s">
        <v>1895</v>
      </c>
      <c r="C479" s="86" t="s">
        <v>204</v>
      </c>
      <c r="D479" s="86"/>
      <c r="E479" s="86" t="s">
        <v>1896</v>
      </c>
      <c r="F479" s="86">
        <v>0.25</v>
      </c>
      <c r="G479" s="86" t="s">
        <v>143</v>
      </c>
      <c r="H479" s="86"/>
      <c r="I479" s="86"/>
      <c r="J479" s="86"/>
      <c r="K479" s="86"/>
      <c r="L479" s="86"/>
      <c r="M479" s="86"/>
      <c r="N479" s="88"/>
      <c r="O479" s="10">
        <f t="shared" ref="O479:O499" si="16">F479*N479</f>
        <v>0</v>
      </c>
    </row>
    <row r="480" spans="1:15" ht="18" customHeight="1">
      <c r="B480" s="96" t="s">
        <v>1897</v>
      </c>
      <c r="C480" s="86" t="s">
        <v>14</v>
      </c>
      <c r="D480" s="86"/>
      <c r="E480" s="86" t="s">
        <v>1898</v>
      </c>
      <c r="F480" s="86">
        <v>0.25</v>
      </c>
      <c r="G480" s="86" t="s">
        <v>143</v>
      </c>
      <c r="H480" s="86"/>
      <c r="I480" s="86"/>
      <c r="J480" s="86"/>
      <c r="K480" s="86"/>
      <c r="L480" s="86"/>
      <c r="M480" s="86"/>
      <c r="N480" s="88"/>
      <c r="O480" s="10">
        <f t="shared" si="16"/>
        <v>0</v>
      </c>
    </row>
    <row r="481" spans="1:15" ht="18" customHeight="1">
      <c r="B481" s="96" t="s">
        <v>1899</v>
      </c>
      <c r="C481" s="86" t="s">
        <v>14</v>
      </c>
      <c r="D481" s="86"/>
      <c r="E481" s="86" t="s">
        <v>1900</v>
      </c>
      <c r="F481" s="86">
        <v>0.5</v>
      </c>
      <c r="G481" s="86" t="s">
        <v>21</v>
      </c>
      <c r="H481" s="86"/>
      <c r="I481" s="86"/>
      <c r="J481" s="86"/>
      <c r="K481" s="86"/>
      <c r="L481" s="86"/>
      <c r="M481" s="86"/>
      <c r="N481" s="88"/>
      <c r="O481" s="10">
        <f t="shared" si="16"/>
        <v>0</v>
      </c>
    </row>
    <row r="482" spans="1:15" ht="18" customHeight="1">
      <c r="B482" s="96" t="s">
        <v>1901</v>
      </c>
      <c r="C482" s="86" t="s">
        <v>14</v>
      </c>
      <c r="D482" s="86"/>
      <c r="E482" s="86" t="s">
        <v>1902</v>
      </c>
      <c r="F482" s="86">
        <v>0.25</v>
      </c>
      <c r="G482" s="86" t="s">
        <v>143</v>
      </c>
      <c r="H482" s="86"/>
      <c r="I482" s="86"/>
      <c r="J482" s="86"/>
      <c r="K482" s="86"/>
      <c r="L482" s="86"/>
      <c r="M482" s="86"/>
      <c r="N482" s="88"/>
      <c r="O482" s="10">
        <f t="shared" si="16"/>
        <v>0</v>
      </c>
    </row>
    <row r="483" spans="1:15" ht="18" customHeight="1">
      <c r="B483" s="96" t="s">
        <v>1903</v>
      </c>
      <c r="C483" s="86" t="s">
        <v>14</v>
      </c>
      <c r="D483" s="86"/>
      <c r="E483" s="86" t="s">
        <v>1904</v>
      </c>
      <c r="F483" s="86"/>
      <c r="G483" s="86" t="s">
        <v>1258</v>
      </c>
      <c r="H483" s="86"/>
      <c r="I483" s="86"/>
      <c r="J483" s="86"/>
      <c r="K483" s="86"/>
      <c r="L483" s="86"/>
      <c r="M483" s="86"/>
      <c r="N483" s="88"/>
      <c r="O483" s="10">
        <f t="shared" si="16"/>
        <v>0</v>
      </c>
    </row>
    <row r="484" spans="1:15" ht="18" customHeight="1">
      <c r="B484" s="96" t="s">
        <v>1905</v>
      </c>
      <c r="C484" s="86" t="s">
        <v>14</v>
      </c>
      <c r="D484" s="86"/>
      <c r="E484" s="86" t="s">
        <v>1906</v>
      </c>
      <c r="F484" s="86"/>
      <c r="G484" s="86" t="s">
        <v>1907</v>
      </c>
      <c r="H484" s="86"/>
      <c r="I484" s="86"/>
      <c r="J484" s="86"/>
      <c r="K484" s="86"/>
      <c r="L484" s="86"/>
      <c r="M484" s="86"/>
      <c r="N484" s="88"/>
      <c r="O484" s="10">
        <f t="shared" si="16"/>
        <v>0</v>
      </c>
    </row>
    <row r="485" spans="1:15" ht="18" customHeight="1">
      <c r="B485" s="96" t="s">
        <v>1908</v>
      </c>
      <c r="C485" s="86" t="s">
        <v>14</v>
      </c>
      <c r="D485" s="86"/>
      <c r="E485" s="86" t="s">
        <v>1909</v>
      </c>
      <c r="F485" s="86">
        <v>0.75</v>
      </c>
      <c r="G485" s="86" t="s">
        <v>17</v>
      </c>
      <c r="H485" s="86"/>
      <c r="I485" s="86"/>
      <c r="J485" s="86"/>
      <c r="K485" s="86"/>
      <c r="L485" s="86"/>
      <c r="M485" s="86"/>
      <c r="N485" s="88"/>
      <c r="O485" s="10">
        <f t="shared" si="16"/>
        <v>0</v>
      </c>
    </row>
    <row r="486" spans="1:15" ht="18" customHeight="1">
      <c r="B486" s="96" t="s">
        <v>1910</v>
      </c>
      <c r="C486" s="86" t="s">
        <v>14</v>
      </c>
      <c r="D486" s="86"/>
      <c r="E486" s="86" t="s">
        <v>1911</v>
      </c>
      <c r="F486" s="86">
        <v>0.5</v>
      </c>
      <c r="G486" s="86" t="s">
        <v>21</v>
      </c>
      <c r="H486" s="86"/>
      <c r="I486" s="86"/>
      <c r="J486" s="86"/>
      <c r="K486" s="86"/>
      <c r="L486" s="86"/>
      <c r="M486" s="86"/>
      <c r="N486" s="88">
        <v>360</v>
      </c>
      <c r="O486" s="10">
        <f t="shared" si="16"/>
        <v>180</v>
      </c>
    </row>
    <row r="487" spans="1:15" ht="18" customHeight="1">
      <c r="B487" s="96" t="s">
        <v>1817</v>
      </c>
      <c r="C487" s="86" t="s">
        <v>14</v>
      </c>
      <c r="D487" s="86"/>
      <c r="E487" s="86" t="s">
        <v>1912</v>
      </c>
      <c r="F487" s="86">
        <v>0.25</v>
      </c>
      <c r="G487" s="86" t="s">
        <v>143</v>
      </c>
      <c r="H487" s="86" t="s">
        <v>1913</v>
      </c>
      <c r="I487" s="86"/>
      <c r="J487" s="86"/>
      <c r="K487" s="86"/>
      <c r="L487" s="86"/>
      <c r="M487" s="86"/>
      <c r="N487" s="88"/>
      <c r="O487" s="10">
        <f t="shared" si="16"/>
        <v>0</v>
      </c>
    </row>
    <row r="488" spans="1:15">
      <c r="B488" s="96" t="s">
        <v>591</v>
      </c>
      <c r="C488" s="98"/>
      <c r="D488" s="86"/>
      <c r="E488" s="86" t="s">
        <v>1914</v>
      </c>
      <c r="F488" s="86"/>
      <c r="G488" s="86" t="s">
        <v>46</v>
      </c>
      <c r="H488" s="86"/>
      <c r="I488" s="86"/>
      <c r="J488" s="86"/>
      <c r="K488" s="86"/>
      <c r="L488" s="86"/>
      <c r="M488" s="86"/>
      <c r="N488" s="86"/>
      <c r="O488" s="10">
        <f t="shared" si="16"/>
        <v>0</v>
      </c>
    </row>
    <row r="489" spans="1:15" ht="58.5" customHeight="1">
      <c r="B489" s="96" t="s">
        <v>899</v>
      </c>
      <c r="C489" s="86"/>
      <c r="D489" s="86">
        <v>8</v>
      </c>
      <c r="E489" s="86"/>
      <c r="F489" s="86"/>
      <c r="G489" s="86" t="s">
        <v>46</v>
      </c>
      <c r="H489" s="86"/>
      <c r="I489" s="86"/>
      <c r="J489" s="86"/>
      <c r="K489" s="86"/>
      <c r="L489" s="86"/>
      <c r="M489" s="86"/>
      <c r="N489" s="86"/>
      <c r="O489" s="10">
        <f t="shared" si="16"/>
        <v>0</v>
      </c>
    </row>
    <row r="490" spans="1:15">
      <c r="B490" s="96" t="s">
        <v>1915</v>
      </c>
      <c r="C490" s="86"/>
      <c r="D490" s="86"/>
      <c r="E490" s="86" t="s">
        <v>1916</v>
      </c>
      <c r="F490" s="86"/>
      <c r="G490" s="86" t="s">
        <v>21</v>
      </c>
      <c r="H490" s="86"/>
      <c r="I490" s="86"/>
      <c r="J490" s="86"/>
      <c r="K490" s="86"/>
      <c r="L490" s="86"/>
      <c r="M490" s="86"/>
      <c r="N490" s="86"/>
      <c r="O490" s="10">
        <f t="shared" si="16"/>
        <v>0</v>
      </c>
    </row>
    <row r="491" spans="1:15">
      <c r="B491" s="96" t="s">
        <v>1917</v>
      </c>
      <c r="C491" s="86"/>
      <c r="D491" s="86"/>
      <c r="E491" s="86" t="s">
        <v>1918</v>
      </c>
      <c r="F491" s="86"/>
      <c r="G491" s="86" t="s">
        <v>21</v>
      </c>
      <c r="H491" s="86"/>
      <c r="I491" s="86"/>
      <c r="J491" s="86"/>
      <c r="K491" s="86"/>
      <c r="L491" s="86"/>
      <c r="M491" s="86"/>
      <c r="N491" s="86"/>
      <c r="O491" s="10">
        <f t="shared" si="16"/>
        <v>0</v>
      </c>
    </row>
    <row r="492" spans="1:15" ht="30.75">
      <c r="B492" s="96" t="s">
        <v>1919</v>
      </c>
      <c r="C492" s="86"/>
      <c r="D492" s="86"/>
      <c r="E492" s="86"/>
      <c r="F492" s="86"/>
      <c r="G492" s="86" t="s">
        <v>143</v>
      </c>
      <c r="H492" s="86"/>
      <c r="I492" s="86"/>
      <c r="J492" s="86"/>
      <c r="K492" s="86"/>
      <c r="L492" s="86"/>
      <c r="M492" s="86"/>
      <c r="N492" s="86"/>
      <c r="O492" s="10">
        <f t="shared" si="16"/>
        <v>0</v>
      </c>
    </row>
    <row r="493" spans="1:15">
      <c r="B493" s="96" t="s">
        <v>1920</v>
      </c>
      <c r="C493" s="86"/>
      <c r="D493" s="86"/>
      <c r="E493" s="86" t="s">
        <v>1921</v>
      </c>
      <c r="F493" s="86"/>
      <c r="G493" s="86" t="s">
        <v>59</v>
      </c>
      <c r="H493" s="86"/>
      <c r="I493" s="86"/>
      <c r="J493" s="86"/>
      <c r="K493" s="86"/>
      <c r="L493" s="86"/>
      <c r="M493" s="86"/>
      <c r="N493" s="86"/>
      <c r="O493" s="10">
        <f t="shared" si="16"/>
        <v>0</v>
      </c>
    </row>
    <row r="494" spans="1:15">
      <c r="B494" s="96" t="s">
        <v>1922</v>
      </c>
      <c r="C494" s="86"/>
      <c r="D494" s="86"/>
      <c r="E494" s="86" t="s">
        <v>1923</v>
      </c>
      <c r="F494" s="86"/>
      <c r="G494" s="86" t="s">
        <v>46</v>
      </c>
      <c r="H494" s="86"/>
      <c r="I494" s="86"/>
      <c r="J494" s="86"/>
      <c r="K494" s="86"/>
      <c r="L494" s="86"/>
      <c r="M494" s="86"/>
      <c r="N494" s="86"/>
      <c r="O494" s="10">
        <f t="shared" si="16"/>
        <v>0</v>
      </c>
    </row>
    <row r="495" spans="1:15" ht="30.75">
      <c r="B495" s="96" t="s">
        <v>1924</v>
      </c>
      <c r="C495" s="86"/>
      <c r="D495" s="86"/>
      <c r="E495" s="86"/>
      <c r="F495" s="86"/>
      <c r="G495" s="86" t="s">
        <v>143</v>
      </c>
      <c r="H495" s="86"/>
      <c r="I495" s="86"/>
      <c r="J495" s="86"/>
      <c r="K495" s="86"/>
      <c r="L495" s="86"/>
      <c r="M495" s="86"/>
      <c r="N495" s="86"/>
      <c r="O495" s="10">
        <f t="shared" si="16"/>
        <v>0</v>
      </c>
    </row>
    <row r="496" spans="1:15" s="7" customFormat="1" ht="31.5">
      <c r="A496" s="25"/>
      <c r="B496" s="126" t="s">
        <v>1876</v>
      </c>
      <c r="C496" s="2" t="s">
        <v>2161</v>
      </c>
      <c r="D496" s="2">
        <v>1</v>
      </c>
      <c r="E496" s="2"/>
      <c r="F496" s="2">
        <v>0.25</v>
      </c>
      <c r="G496" s="2" t="s">
        <v>143</v>
      </c>
      <c r="H496" s="2"/>
      <c r="I496" s="2"/>
      <c r="J496" s="2"/>
      <c r="K496" s="2"/>
      <c r="L496" s="2"/>
      <c r="M496" s="10">
        <v>120</v>
      </c>
      <c r="N496" s="10">
        <f>F496*M496</f>
        <v>30</v>
      </c>
      <c r="O496" s="10">
        <f t="shared" si="16"/>
        <v>7.5</v>
      </c>
    </row>
    <row r="497" spans="1:15" s="7" customFormat="1">
      <c r="A497" s="25"/>
      <c r="B497" s="126" t="s">
        <v>1877</v>
      </c>
      <c r="C497" s="2" t="s">
        <v>2161</v>
      </c>
      <c r="D497" s="2">
        <v>1</v>
      </c>
      <c r="E497" s="2"/>
      <c r="F497" s="2">
        <v>0.25</v>
      </c>
      <c r="G497" s="2" t="s">
        <v>143</v>
      </c>
      <c r="H497" s="2"/>
      <c r="I497" s="2"/>
      <c r="J497" s="2"/>
      <c r="K497" s="2"/>
      <c r="L497" s="2"/>
      <c r="M497" s="10">
        <v>100</v>
      </c>
      <c r="N497" s="10">
        <f>F497*M497</f>
        <v>25</v>
      </c>
      <c r="O497" s="10">
        <f t="shared" si="16"/>
        <v>6.25</v>
      </c>
    </row>
    <row r="498" spans="1:15" s="7" customFormat="1">
      <c r="A498" s="25"/>
      <c r="B498" s="126" t="s">
        <v>1878</v>
      </c>
      <c r="C498" s="2" t="s">
        <v>2161</v>
      </c>
      <c r="D498" s="2">
        <v>1</v>
      </c>
      <c r="E498" s="2"/>
      <c r="F498" s="2">
        <v>0.25</v>
      </c>
      <c r="G498" s="2" t="s">
        <v>143</v>
      </c>
      <c r="H498" s="2"/>
      <c r="I498" s="2"/>
      <c r="J498" s="2"/>
      <c r="K498" s="2"/>
      <c r="L498" s="2"/>
      <c r="M498" s="10">
        <v>100</v>
      </c>
      <c r="N498" s="10">
        <f>F498*M498</f>
        <v>25</v>
      </c>
      <c r="O498" s="10">
        <f t="shared" si="16"/>
        <v>6.25</v>
      </c>
    </row>
    <row r="499" spans="1:15">
      <c r="B499" s="96" t="s">
        <v>1925</v>
      </c>
      <c r="C499" s="86"/>
      <c r="D499" s="86"/>
      <c r="E499" s="86" t="s">
        <v>1926</v>
      </c>
      <c r="F499" s="86"/>
      <c r="G499" s="86" t="s">
        <v>143</v>
      </c>
      <c r="H499" s="86"/>
      <c r="I499" s="86"/>
      <c r="J499" s="86"/>
      <c r="K499" s="86"/>
      <c r="L499" s="86"/>
      <c r="M499" s="86"/>
      <c r="N499" s="86"/>
      <c r="O499" s="10">
        <f t="shared" si="16"/>
        <v>0</v>
      </c>
    </row>
    <row r="502" spans="1:15" ht="18" customHeight="1">
      <c r="A502" s="92" t="s">
        <v>1973</v>
      </c>
      <c r="B502" s="96" t="s">
        <v>1927</v>
      </c>
      <c r="C502" s="86" t="s">
        <v>204</v>
      </c>
      <c r="D502" s="86"/>
      <c r="E502" s="86" t="s">
        <v>1928</v>
      </c>
      <c r="F502" s="86">
        <v>0.5</v>
      </c>
      <c r="G502" s="86" t="s">
        <v>21</v>
      </c>
      <c r="H502" s="86" t="s">
        <v>1929</v>
      </c>
      <c r="I502" s="86"/>
      <c r="J502" s="86"/>
      <c r="K502" s="86"/>
      <c r="L502" s="86"/>
      <c r="M502" s="86"/>
      <c r="N502" s="88"/>
      <c r="O502" s="10">
        <f t="shared" ref="O502:O520" si="17">F502*N502</f>
        <v>0</v>
      </c>
    </row>
    <row r="503" spans="1:15" ht="36" customHeight="1">
      <c r="B503" s="96" t="s">
        <v>1930</v>
      </c>
      <c r="C503" s="86" t="s">
        <v>204</v>
      </c>
      <c r="D503" s="86"/>
      <c r="E503" s="86" t="s">
        <v>1931</v>
      </c>
      <c r="F503" s="86">
        <v>0.25</v>
      </c>
      <c r="G503" s="86" t="s">
        <v>143</v>
      </c>
      <c r="H503" s="86"/>
      <c r="I503" s="86"/>
      <c r="J503" s="86"/>
      <c r="K503" s="86"/>
      <c r="L503" s="86" t="s">
        <v>1932</v>
      </c>
      <c r="M503" s="86"/>
      <c r="N503" s="88"/>
      <c r="O503" s="10">
        <f t="shared" si="17"/>
        <v>0</v>
      </c>
    </row>
    <row r="504" spans="1:15" ht="18" customHeight="1">
      <c r="B504" s="96" t="s">
        <v>231</v>
      </c>
      <c r="C504" s="86" t="s">
        <v>14</v>
      </c>
      <c r="D504" s="86"/>
      <c r="E504" s="86" t="s">
        <v>1933</v>
      </c>
      <c r="F504" s="86">
        <v>0.5</v>
      </c>
      <c r="G504" s="86" t="s">
        <v>21</v>
      </c>
      <c r="H504" s="86"/>
      <c r="I504" s="86"/>
      <c r="J504" s="86"/>
      <c r="K504" s="86"/>
      <c r="L504" s="86"/>
      <c r="M504" s="86"/>
      <c r="N504" s="88"/>
      <c r="O504" s="10">
        <f t="shared" si="17"/>
        <v>0</v>
      </c>
    </row>
    <row r="505" spans="1:15" ht="18" customHeight="1">
      <c r="B505" s="96" t="s">
        <v>2056</v>
      </c>
      <c r="C505" s="86" t="s">
        <v>204</v>
      </c>
      <c r="D505" s="86"/>
      <c r="E505" s="86" t="s">
        <v>2450</v>
      </c>
      <c r="F505" s="86"/>
      <c r="G505" s="86" t="s">
        <v>21</v>
      </c>
      <c r="H505" s="86"/>
      <c r="I505" s="86"/>
      <c r="J505" s="86"/>
      <c r="K505" s="86"/>
      <c r="L505" s="86"/>
      <c r="M505" s="86"/>
      <c r="N505" s="88"/>
      <c r="O505" s="10">
        <f t="shared" si="17"/>
        <v>0</v>
      </c>
    </row>
    <row r="506" spans="1:15">
      <c r="B506" s="96" t="s">
        <v>1934</v>
      </c>
      <c r="C506" s="86"/>
      <c r="D506" s="86"/>
      <c r="E506" s="86"/>
      <c r="F506" s="93">
        <v>0.5</v>
      </c>
      <c r="G506" s="86" t="s">
        <v>21</v>
      </c>
      <c r="H506" s="93"/>
      <c r="I506" s="93"/>
      <c r="J506" s="93"/>
      <c r="K506" s="93"/>
      <c r="L506" s="93"/>
      <c r="M506" s="93"/>
      <c r="N506" s="93"/>
      <c r="O506" s="10">
        <f t="shared" si="17"/>
        <v>0</v>
      </c>
    </row>
    <row r="507" spans="1:15">
      <c r="B507" s="96" t="s">
        <v>162</v>
      </c>
      <c r="C507" s="86"/>
      <c r="D507" s="86"/>
      <c r="E507" s="86" t="s">
        <v>1935</v>
      </c>
      <c r="F507" s="93">
        <v>0.5</v>
      </c>
      <c r="G507" s="86" t="s">
        <v>21</v>
      </c>
      <c r="H507" s="93"/>
      <c r="I507" s="93"/>
      <c r="J507" s="93"/>
      <c r="K507" s="93"/>
      <c r="L507" s="93"/>
      <c r="M507" s="93"/>
      <c r="N507" s="93"/>
      <c r="O507" s="10">
        <f t="shared" si="17"/>
        <v>0</v>
      </c>
    </row>
    <row r="508" spans="1:15">
      <c r="B508" s="96" t="s">
        <v>1936</v>
      </c>
      <c r="C508" s="86"/>
      <c r="D508" s="86"/>
      <c r="E508" s="86" t="s">
        <v>1937</v>
      </c>
      <c r="F508" s="93">
        <v>0.5</v>
      </c>
      <c r="G508" s="86" t="s">
        <v>21</v>
      </c>
      <c r="H508" s="93"/>
      <c r="I508" s="93"/>
      <c r="J508" s="93"/>
      <c r="K508" s="93"/>
      <c r="L508" s="93"/>
      <c r="M508" s="93"/>
      <c r="N508" s="93"/>
      <c r="O508" s="10">
        <f t="shared" si="17"/>
        <v>0</v>
      </c>
    </row>
    <row r="509" spans="1:15">
      <c r="B509" s="96" t="s">
        <v>1938</v>
      </c>
      <c r="C509" s="86"/>
      <c r="D509" s="86"/>
      <c r="E509" s="86" t="s">
        <v>1939</v>
      </c>
      <c r="F509" s="93">
        <v>0.25</v>
      </c>
      <c r="G509" s="86" t="s">
        <v>143</v>
      </c>
      <c r="H509" s="93"/>
      <c r="I509" s="93"/>
      <c r="J509" s="93"/>
      <c r="K509" s="93"/>
      <c r="L509" s="93"/>
      <c r="M509" s="93"/>
      <c r="N509" s="93"/>
      <c r="O509" s="10">
        <f t="shared" si="17"/>
        <v>0</v>
      </c>
    </row>
    <row r="510" spans="1:15">
      <c r="B510" s="96" t="s">
        <v>810</v>
      </c>
      <c r="C510" s="86"/>
      <c r="D510" s="86"/>
      <c r="E510" s="86" t="s">
        <v>1940</v>
      </c>
      <c r="F510" s="93">
        <v>0.25</v>
      </c>
      <c r="G510" s="86" t="s">
        <v>143</v>
      </c>
      <c r="H510" s="93"/>
      <c r="I510" s="93"/>
      <c r="J510" s="93"/>
      <c r="K510" s="93"/>
      <c r="L510" s="93"/>
      <c r="M510" s="93"/>
      <c r="N510" s="93"/>
      <c r="O510" s="10">
        <f t="shared" si="17"/>
        <v>0</v>
      </c>
    </row>
    <row r="511" spans="1:15">
      <c r="B511" s="96" t="s">
        <v>1941</v>
      </c>
      <c r="C511" s="86"/>
      <c r="D511" s="86"/>
      <c r="E511" s="86" t="s">
        <v>1942</v>
      </c>
      <c r="F511" s="93">
        <v>0.5</v>
      </c>
      <c r="G511" s="86" t="s">
        <v>21</v>
      </c>
      <c r="H511" s="93"/>
      <c r="I511" s="93"/>
      <c r="J511" s="93"/>
      <c r="K511" s="93"/>
      <c r="L511" s="93"/>
      <c r="M511" s="93"/>
      <c r="N511" s="93"/>
      <c r="O511" s="10">
        <f t="shared" si="17"/>
        <v>0</v>
      </c>
    </row>
    <row r="512" spans="1:15">
      <c r="B512" s="96" t="s">
        <v>1943</v>
      </c>
      <c r="C512" s="86"/>
      <c r="D512" s="86"/>
      <c r="E512" s="86" t="s">
        <v>1790</v>
      </c>
      <c r="F512" s="93">
        <v>0.25</v>
      </c>
      <c r="G512" s="86" t="s">
        <v>143</v>
      </c>
      <c r="H512" s="93"/>
      <c r="I512" s="93"/>
      <c r="J512" s="93"/>
      <c r="K512" s="93"/>
      <c r="L512" s="93"/>
      <c r="M512" s="93"/>
      <c r="N512" s="93"/>
      <c r="O512" s="10">
        <f t="shared" si="17"/>
        <v>0</v>
      </c>
    </row>
    <row r="513" spans="1:15">
      <c r="B513" s="96" t="s">
        <v>1944</v>
      </c>
      <c r="C513" s="86"/>
      <c r="D513" s="86"/>
      <c r="E513" s="86" t="s">
        <v>1945</v>
      </c>
      <c r="F513" s="93">
        <v>0.5</v>
      </c>
      <c r="G513" s="86" t="s">
        <v>21</v>
      </c>
      <c r="H513" s="93"/>
      <c r="I513" s="93"/>
      <c r="J513" s="93"/>
      <c r="K513" s="93"/>
      <c r="L513" s="93"/>
      <c r="M513" s="93"/>
      <c r="N513" s="93"/>
      <c r="O513" s="10">
        <f t="shared" si="17"/>
        <v>0</v>
      </c>
    </row>
    <row r="514" spans="1:15">
      <c r="B514" s="96" t="s">
        <v>1946</v>
      </c>
      <c r="C514" s="86"/>
      <c r="D514" s="86"/>
      <c r="E514" s="86" t="s">
        <v>1947</v>
      </c>
      <c r="F514" s="93">
        <v>0.25</v>
      </c>
      <c r="G514" s="86" t="s">
        <v>143</v>
      </c>
      <c r="H514" s="93"/>
      <c r="I514" s="93"/>
      <c r="J514" s="93"/>
      <c r="K514" s="93"/>
      <c r="L514" s="93"/>
      <c r="M514" s="93"/>
      <c r="N514" s="93"/>
      <c r="O514" s="10">
        <f t="shared" si="17"/>
        <v>0</v>
      </c>
    </row>
    <row r="515" spans="1:15">
      <c r="B515" s="96" t="s">
        <v>1948</v>
      </c>
      <c r="C515" s="86"/>
      <c r="D515" s="86"/>
      <c r="E515" s="86" t="s">
        <v>1949</v>
      </c>
      <c r="F515" s="93">
        <v>0.25</v>
      </c>
      <c r="G515" s="86" t="s">
        <v>143</v>
      </c>
      <c r="H515" s="93"/>
      <c r="I515" s="93"/>
      <c r="J515" s="93"/>
      <c r="K515" s="93"/>
      <c r="L515" s="93"/>
      <c r="M515" s="93"/>
      <c r="N515" s="93"/>
      <c r="O515" s="10">
        <f t="shared" si="17"/>
        <v>0</v>
      </c>
    </row>
    <row r="516" spans="1:15">
      <c r="B516" s="96" t="s">
        <v>1950</v>
      </c>
      <c r="C516" s="86"/>
      <c r="D516" s="86"/>
      <c r="E516" s="86" t="s">
        <v>1951</v>
      </c>
      <c r="F516" s="93">
        <v>0.5</v>
      </c>
      <c r="G516" s="86" t="s">
        <v>21</v>
      </c>
      <c r="H516" s="93"/>
      <c r="I516" s="93"/>
      <c r="J516" s="93"/>
      <c r="K516" s="93"/>
      <c r="L516" s="93"/>
      <c r="M516" s="93"/>
      <c r="N516" s="93"/>
      <c r="O516" s="10">
        <f t="shared" si="17"/>
        <v>0</v>
      </c>
    </row>
    <row r="517" spans="1:15">
      <c r="B517" s="96" t="s">
        <v>1952</v>
      </c>
      <c r="C517" s="86"/>
      <c r="D517" s="86"/>
      <c r="E517" s="86" t="s">
        <v>1953</v>
      </c>
      <c r="F517" s="93">
        <v>0.25</v>
      </c>
      <c r="G517" s="86" t="s">
        <v>143</v>
      </c>
      <c r="H517" s="93"/>
      <c r="I517" s="93"/>
      <c r="J517" s="93"/>
      <c r="K517" s="93"/>
      <c r="L517" s="93"/>
      <c r="M517" s="93"/>
      <c r="N517" s="93"/>
      <c r="O517" s="10">
        <f t="shared" si="17"/>
        <v>0</v>
      </c>
    </row>
    <row r="518" spans="1:15">
      <c r="B518" s="96" t="s">
        <v>1954</v>
      </c>
      <c r="C518" s="86"/>
      <c r="D518" s="86"/>
      <c r="E518" s="86" t="s">
        <v>1790</v>
      </c>
      <c r="F518" s="93">
        <v>0.25</v>
      </c>
      <c r="G518" s="86" t="s">
        <v>143</v>
      </c>
      <c r="H518" s="93"/>
      <c r="I518" s="93"/>
      <c r="J518" s="93"/>
      <c r="K518" s="93"/>
      <c r="L518" s="93"/>
      <c r="M518" s="93"/>
      <c r="N518" s="93"/>
      <c r="O518" s="10">
        <f t="shared" si="17"/>
        <v>0</v>
      </c>
    </row>
    <row r="519" spans="1:15">
      <c r="B519" s="96" t="s">
        <v>1955</v>
      </c>
      <c r="C519" s="86"/>
      <c r="D519" s="86"/>
      <c r="E519" s="86" t="s">
        <v>1790</v>
      </c>
      <c r="F519" s="93">
        <v>0.25</v>
      </c>
      <c r="G519" s="86" t="s">
        <v>143</v>
      </c>
      <c r="H519" s="93"/>
      <c r="I519" s="93"/>
      <c r="J519" s="93"/>
      <c r="K519" s="93"/>
      <c r="L519" s="93"/>
      <c r="M519" s="93"/>
      <c r="N519" s="93"/>
      <c r="O519" s="10">
        <f t="shared" si="17"/>
        <v>0</v>
      </c>
    </row>
    <row r="520" spans="1:15">
      <c r="B520" s="127" t="s">
        <v>1956</v>
      </c>
      <c r="C520" s="114"/>
      <c r="D520" s="114"/>
      <c r="E520" s="114" t="s">
        <v>1957</v>
      </c>
      <c r="F520" s="99">
        <v>0.25</v>
      </c>
      <c r="G520" s="114" t="s">
        <v>143</v>
      </c>
      <c r="H520" s="99"/>
      <c r="I520" s="99"/>
      <c r="J520" s="99"/>
      <c r="K520" s="99"/>
      <c r="L520" s="99"/>
      <c r="M520" s="99"/>
      <c r="N520" s="99"/>
      <c r="O520" s="10">
        <f t="shared" si="17"/>
        <v>0</v>
      </c>
    </row>
    <row r="521" spans="1:15">
      <c r="B521" s="116"/>
      <c r="C521" s="116"/>
      <c r="D521" s="116"/>
      <c r="E521" s="116"/>
      <c r="F521" s="115"/>
      <c r="G521" s="116"/>
      <c r="H521" s="115"/>
      <c r="I521" s="115"/>
      <c r="J521" s="115"/>
      <c r="K521" s="115"/>
      <c r="L521" s="115"/>
      <c r="M521" s="115"/>
      <c r="N521" s="115"/>
      <c r="O521" s="117"/>
    </row>
    <row r="522" spans="1:15" ht="18" customHeight="1">
      <c r="A522" s="97" t="s">
        <v>1974</v>
      </c>
      <c r="B522" s="128" t="s">
        <v>1958</v>
      </c>
      <c r="C522" s="94" t="s">
        <v>20</v>
      </c>
      <c r="D522" s="94"/>
      <c r="E522" s="94" t="s">
        <v>1959</v>
      </c>
      <c r="F522" s="94">
        <v>0.25</v>
      </c>
      <c r="G522" s="94" t="s">
        <v>143</v>
      </c>
      <c r="H522" s="94"/>
      <c r="I522" s="94"/>
      <c r="J522" s="94"/>
      <c r="K522" s="94"/>
      <c r="L522" s="94"/>
      <c r="M522" s="94"/>
      <c r="N522" s="95"/>
      <c r="O522" s="10">
        <f t="shared" ref="O522:O529" si="18">F522*N522</f>
        <v>0</v>
      </c>
    </row>
    <row r="523" spans="1:15" ht="18" customHeight="1">
      <c r="B523" s="96" t="s">
        <v>1960</v>
      </c>
      <c r="C523" s="86" t="s">
        <v>20</v>
      </c>
      <c r="D523" s="86"/>
      <c r="E523" s="112" t="s">
        <v>1961</v>
      </c>
      <c r="F523" s="86">
        <v>0.25</v>
      </c>
      <c r="G523" s="86" t="s">
        <v>143</v>
      </c>
      <c r="H523" s="86" t="s">
        <v>1962</v>
      </c>
      <c r="I523" s="86"/>
      <c r="J523" s="86"/>
      <c r="K523" s="86"/>
      <c r="L523" s="86"/>
      <c r="M523" s="86"/>
      <c r="N523" s="88"/>
      <c r="O523" s="10">
        <f t="shared" si="18"/>
        <v>0</v>
      </c>
    </row>
    <row r="524" spans="1:15">
      <c r="B524" s="96" t="s">
        <v>985</v>
      </c>
      <c r="C524" s="86" t="s">
        <v>2165</v>
      </c>
      <c r="D524" s="86"/>
      <c r="E524" s="86" t="s">
        <v>1963</v>
      </c>
      <c r="F524" s="86">
        <v>0.25</v>
      </c>
      <c r="G524" s="86" t="s">
        <v>143</v>
      </c>
      <c r="H524" s="86"/>
      <c r="I524" s="86"/>
      <c r="J524" s="86"/>
      <c r="K524" s="86"/>
      <c r="L524" s="86"/>
      <c r="M524" s="86"/>
      <c r="N524" s="88"/>
      <c r="O524" s="10">
        <f t="shared" si="18"/>
        <v>0</v>
      </c>
    </row>
    <row r="525" spans="1:15">
      <c r="B525" s="96" t="s">
        <v>1964</v>
      </c>
      <c r="C525" s="86"/>
      <c r="D525" s="86"/>
      <c r="E525" s="86" t="s">
        <v>1965</v>
      </c>
      <c r="F525" s="93">
        <v>0.25</v>
      </c>
      <c r="G525" s="86" t="s">
        <v>143</v>
      </c>
      <c r="H525" s="93"/>
      <c r="I525" s="93"/>
      <c r="J525" s="93"/>
      <c r="K525" s="93"/>
      <c r="L525" s="93"/>
      <c r="M525" s="93"/>
      <c r="N525" s="111"/>
      <c r="O525" s="10">
        <f t="shared" si="18"/>
        <v>0</v>
      </c>
    </row>
    <row r="526" spans="1:15">
      <c r="B526" s="96" t="s">
        <v>568</v>
      </c>
      <c r="C526" s="86"/>
      <c r="D526" s="86"/>
      <c r="E526" s="86" t="s">
        <v>1966</v>
      </c>
      <c r="F526" s="93">
        <v>0.25</v>
      </c>
      <c r="G526" s="86" t="s">
        <v>143</v>
      </c>
      <c r="H526" s="93"/>
      <c r="I526" s="93"/>
      <c r="J526" s="93"/>
      <c r="K526" s="93"/>
      <c r="L526" s="93"/>
      <c r="M526" s="93"/>
      <c r="N526" s="111"/>
      <c r="O526" s="10">
        <f t="shared" si="18"/>
        <v>0</v>
      </c>
    </row>
    <row r="527" spans="1:15">
      <c r="B527" s="96" t="s">
        <v>1967</v>
      </c>
      <c r="C527" s="86"/>
      <c r="D527" s="86"/>
      <c r="E527" s="86" t="s">
        <v>1968</v>
      </c>
      <c r="F527" s="93">
        <v>0.25</v>
      </c>
      <c r="G527" s="86" t="s">
        <v>143</v>
      </c>
      <c r="H527" s="93"/>
      <c r="I527" s="93"/>
      <c r="J527" s="93"/>
      <c r="K527" s="93"/>
      <c r="L527" s="93"/>
      <c r="M527" s="93"/>
      <c r="N527" s="111"/>
      <c r="O527" s="10">
        <f t="shared" si="18"/>
        <v>0</v>
      </c>
    </row>
    <row r="528" spans="1:15">
      <c r="B528" s="96" t="s">
        <v>1969</v>
      </c>
      <c r="C528" s="86"/>
      <c r="D528" s="86"/>
      <c r="E528" s="86" t="s">
        <v>1970</v>
      </c>
      <c r="F528" s="93">
        <v>0.25</v>
      </c>
      <c r="G528" s="86" t="s">
        <v>143</v>
      </c>
      <c r="H528" s="93"/>
      <c r="I528" s="93"/>
      <c r="J528" s="93"/>
      <c r="K528" s="93"/>
      <c r="L528" s="93"/>
      <c r="M528" s="93"/>
      <c r="N528" s="111"/>
      <c r="O528" s="10">
        <f t="shared" si="18"/>
        <v>0</v>
      </c>
    </row>
    <row r="529" spans="2:15">
      <c r="B529" s="96" t="s">
        <v>1971</v>
      </c>
      <c r="C529" s="86"/>
      <c r="D529" s="86"/>
      <c r="E529" s="86" t="s">
        <v>1972</v>
      </c>
      <c r="F529" s="93">
        <v>0.25</v>
      </c>
      <c r="G529" s="86" t="s">
        <v>143</v>
      </c>
      <c r="H529" s="93"/>
      <c r="I529" s="93"/>
      <c r="J529" s="93"/>
      <c r="K529" s="93"/>
      <c r="L529" s="93"/>
      <c r="M529" s="93"/>
      <c r="N529" s="111"/>
      <c r="O529" s="10">
        <f t="shared" si="18"/>
        <v>0</v>
      </c>
    </row>
    <row r="530" spans="2:15">
      <c r="O530" s="141"/>
    </row>
    <row r="531" spans="2:15">
      <c r="O531" s="113">
        <f>SUM(O2:O530)</f>
        <v>4153.86625</v>
      </c>
    </row>
  </sheetData>
  <dataValidations count="4">
    <dataValidation type="list" allowBlank="1" showInputMessage="1" showErrorMessage="1" sqref="F4 F12 F57:F58 F73 F76:F77 F79 F159:F161 F502:F505 F522:F523 F81:F83 F86:F87 F14:F17 F26 F469:F487 F416:F454 F457:F466 F194:F318" xr:uid="{54FC3F42-8FB1-4031-848D-78A7ABF752F9}">
      <formula1>"1, .9, .75, .5, .25"</formula1>
    </dataValidation>
    <dataValidation type="list" allowBlank="1" showInputMessage="1" showErrorMessage="1" sqref="C4 C12 C86:C87 C57:C58 C73 C76:C77 C522:C523 C159:C161 C180 C26 C446:C454 C464:C467 C502:C505 C81:C83 C14:C17 C432 C424:C427 C469:C489 C440:C444 C457 C429:C430 C417:C422 C194:C240 C242:C318" xr:uid="{A7D0FD52-30BA-49E5-BA0C-968E7014CA5A}">
      <formula1>"Associated to lodging, Maintenance/Operations, Food Service, Appliance, Miscellaneous"</formula1>
    </dataValidation>
    <dataValidation type="list" allowBlank="1" showInputMessage="1" showErrorMessage="1" sqref="G180 F488:G489" xr:uid="{87121FA4-03E0-47FD-96BB-48FD135A34CF}">
      <formula1>"New, Like New, Good, Fair, Poor"</formula1>
    </dataValidation>
    <dataValidation type="list" allowBlank="1" showInputMessage="1" showErrorMessage="1" sqref="C79 C59 C179 C84:C85 C241 C423 C428 C445 C2 C136:C138 C433:C439 C431 C496:C498 C416 C18:C25 C62:C64 C458:C463 C67:C71" xr:uid="{2320A5E0-731A-47BF-817B-B98CEE43A6E8}">
      <formula1>"Funiture and Fixtures, Kitchen Equipment, Machinery and Equipment, Office Equipment, Vechiles"</formula1>
    </dataValidation>
  </dataValidations>
  <pageMargins left="0.7" right="0.7" top="0.75" bottom="0.75" header="0.3" footer="0.3"/>
  <pageSetup scale="34" fitToHeight="0" orientation="landscape"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5FE2F222BF64587E521017B103AEF" ma:contentTypeVersion="2" ma:contentTypeDescription="Create a new document." ma:contentTypeScope="" ma:versionID="065091f49f8316a24ae8031ecbe6cf78">
  <xsd:schema xmlns:xsd="http://www.w3.org/2001/XMLSchema" xmlns:xs="http://www.w3.org/2001/XMLSchema" xmlns:p="http://schemas.microsoft.com/office/2006/metadata/properties" xmlns:ns1="http://schemas.microsoft.com/sharepoint/v3" xmlns:ns2="97863827-5b6a-4200-a971-f0b8232253f0" targetNamespace="http://schemas.microsoft.com/office/2006/metadata/properties" ma:root="true" ma:fieldsID="40e8baf9e352ce76908fe892e1ba0939" ns1:_="" ns2:_="">
    <xsd:import namespace="http://schemas.microsoft.com/sharepoint/v3"/>
    <xsd:import namespace="97863827-5b6a-4200-a971-f0b8232253f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863827-5b6a-4200-a971-f0b8232253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E2A8849-A536-4718-A203-C431C6D290AD}"/>
</file>

<file path=customXml/itemProps2.xml><?xml version="1.0" encoding="utf-8"?>
<ds:datastoreItem xmlns:ds="http://schemas.openxmlformats.org/officeDocument/2006/customXml" ds:itemID="{E1091108-CE01-42DF-8461-8F63813910BE}"/>
</file>

<file path=customXml/itemProps3.xml><?xml version="1.0" encoding="utf-8"?>
<ds:datastoreItem xmlns:ds="http://schemas.openxmlformats.org/officeDocument/2006/customXml" ds:itemID="{37A14DC9-B6A6-470D-876F-407EF39816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Methodology</vt:lpstr>
      <vt:lpstr>Retain</vt:lpstr>
      <vt:lpstr>Transfer</vt:lpstr>
      <vt:lpstr>Dispose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SHIPPEN Kari * OPRD</dc:creator>
  <cp:lastModifiedBy>SHIPPEN Kari * OPRD</cp:lastModifiedBy>
  <cp:lastPrinted>2024-02-27T21:38:20Z</cp:lastPrinted>
  <dcterms:created xsi:type="dcterms:W3CDTF">2023-12-15T22:10:18Z</dcterms:created>
  <dcterms:modified xsi:type="dcterms:W3CDTF">2024-02-27T21:38:34Z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2023-12-15T22:26:54Z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ad5409c0-8226-46f3-ad9c-bee79c96d3c2</vt:lpwstr>
  </property>
  <property fmtid="{D5CDD505-2E9C-101B-9397-08002B2CF9AE}" pid="8" name="MSIP_Label_db79d039-fcd0-4045-9c78-4cfb2eba0904_ContentBits">
    <vt:lpwstr>0</vt:lpwstr>
  </property>
  <property fmtid="{D5CDD505-2E9C-101B-9397-08002B2CF9AE}" pid="9" name="ContentTypeId">
    <vt:lpwstr>0x010100D2A5FE2F222BF64587E521017B103AEF</vt:lpwstr>
  </property>
</Properties>
</file>