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P:\Central Services\PUC Forms\Public Web Site Reports\"/>
    </mc:Choice>
  </mc:AlternateContent>
  <xr:revisionPtr revIDLastSave="0" documentId="8_{23ACA92E-9154-4984-82F2-CE366D6F63AB}" xr6:coauthVersionLast="47" xr6:coauthVersionMax="47" xr10:uidLastSave="{00000000-0000-0000-0000-000000000000}"/>
  <bookViews>
    <workbookView xWindow="-120" yWindow="-120" windowWidth="29040" windowHeight="15720" firstSheet="2" activeTab="2" xr2:uid="{00000000-000D-0000-FFFF-FFFF00000000}"/>
  </bookViews>
  <sheets>
    <sheet name="Summary" sheetId="11" state="hidden" r:id="rId1"/>
    <sheet name="Usage" sheetId="12" state="hidden" r:id="rId2"/>
    <sheet name="PGE" sheetId="20" r:id="rId3"/>
    <sheet name="PACIFIC" sheetId="6" r:id="rId4"/>
    <sheet name="NWN" sheetId="7" r:id="rId5"/>
    <sheet name="CASCADE" sheetId="8" r:id="rId6"/>
    <sheet name="AVISTA" sheetId="9" r:id="rId7"/>
    <sheet name="IDAHO POWER" sheetId="13" r:id="rId8"/>
    <sheet name="Certifications" sheetId="2" state="hidden" r:id="rId9"/>
    <sheet name="PACIFICORP MSP" sheetId="14" r:id="rId10"/>
    <sheet name="Justice Funding (HB 2475)" sheetId="17" r:id="rId11"/>
    <sheet name="Notices of Intent" sheetId="18" r:id="rId12"/>
    <sheet name="Eligibility +Certification " sheetId="19" r:id="rId13"/>
    <sheet name="PACIFICORP SB978" sheetId="16" state="hidden" r:id="rId14"/>
    <sheet name="PGE SB978" sheetId="15" state="hidden" r:id="rId15"/>
  </sheets>
  <definedNames>
    <definedName name="_xlnm.Print_Area" localSheetId="1">Usage!$A$1:$AA$36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20" l="1"/>
  <c r="C37" i="20"/>
  <c r="E37" i="20"/>
  <c r="F37" i="20"/>
  <c r="E24" i="17" l="1"/>
  <c r="E9" i="9"/>
  <c r="E8" i="9"/>
  <c r="E8" i="8"/>
  <c r="E7" i="8"/>
  <c r="D7" i="17"/>
  <c r="B8" i="14"/>
  <c r="C8" i="14"/>
  <c r="C6" i="14"/>
  <c r="B5" i="14"/>
  <c r="C26" i="14"/>
  <c r="B6" i="14"/>
  <c r="B26" i="14"/>
  <c r="B24" i="14"/>
  <c r="C6" i="6"/>
  <c r="C4" i="6"/>
  <c r="L5" i="17"/>
  <c r="M5" i="17"/>
  <c r="N5" i="17"/>
  <c r="O5" i="17"/>
  <c r="P5" i="17"/>
  <c r="K5" i="17"/>
  <c r="D5" i="17"/>
  <c r="B5" i="17"/>
  <c r="C5" i="17"/>
  <c r="F27" i="9"/>
  <c r="C27" i="9"/>
  <c r="E26" i="20"/>
  <c r="F26" i="20"/>
  <c r="C26" i="20"/>
  <c r="G49" i="17"/>
  <c r="E49" i="17"/>
  <c r="E5" i="8" l="1"/>
  <c r="E6" i="7"/>
  <c r="E9" i="7" s="1"/>
  <c r="E8" i="7"/>
  <c r="E5" i="6"/>
  <c r="E8" i="6" s="1"/>
  <c r="E7" i="6"/>
  <c r="P35" i="17"/>
  <c r="O35" i="17"/>
  <c r="N35" i="17"/>
  <c r="M35" i="17"/>
  <c r="L35" i="17"/>
  <c r="K35" i="17"/>
  <c r="J35" i="17"/>
  <c r="I35" i="17"/>
  <c r="H35" i="17"/>
  <c r="G35" i="17"/>
  <c r="F35" i="17"/>
  <c r="E35" i="17"/>
  <c r="C35" i="17"/>
  <c r="P19" i="17"/>
  <c r="O19" i="17"/>
  <c r="N19" i="17"/>
  <c r="M19" i="17"/>
  <c r="L19" i="17"/>
  <c r="K19" i="17"/>
  <c r="J19" i="17"/>
  <c r="I19" i="17"/>
  <c r="H19" i="17"/>
  <c r="G19" i="17"/>
  <c r="F19" i="17"/>
  <c r="E19" i="17"/>
  <c r="C19" i="17"/>
  <c r="E8" i="17"/>
  <c r="E5" i="17"/>
  <c r="E6" i="17" s="1"/>
  <c r="R4" i="17"/>
  <c r="F32" i="20"/>
  <c r="E32" i="20"/>
  <c r="C32" i="20"/>
  <c r="E18" i="20"/>
  <c r="C18" i="20"/>
  <c r="F18" i="20"/>
  <c r="C14" i="20"/>
  <c r="F14" i="20"/>
  <c r="B41" i="20"/>
  <c r="B4" i="20" s="1"/>
  <c r="D41" i="20"/>
  <c r="D4" i="20" s="1"/>
  <c r="E49" i="20"/>
  <c r="E50" i="20" s="1"/>
  <c r="C50" i="20"/>
  <c r="F52" i="20"/>
  <c r="F54" i="20" s="1"/>
  <c r="C54" i="20"/>
  <c r="E54" i="20"/>
  <c r="C62" i="20"/>
  <c r="E62" i="20"/>
  <c r="F62" i="20"/>
  <c r="C67" i="20"/>
  <c r="E67" i="20"/>
  <c r="F67" i="20"/>
  <c r="E79" i="20"/>
  <c r="F79" i="20" s="1"/>
  <c r="F80" i="20" s="1"/>
  <c r="C80" i="20"/>
  <c r="F82" i="20"/>
  <c r="F84" i="20" s="1"/>
  <c r="C84" i="20"/>
  <c r="E84" i="20"/>
  <c r="F87" i="20"/>
  <c r="C88" i="20"/>
  <c r="F88" i="20" s="1"/>
  <c r="F89" i="20"/>
  <c r="C91" i="20"/>
  <c r="E92" i="20"/>
  <c r="F95" i="20"/>
  <c r="F97" i="20" s="1"/>
  <c r="C97" i="20"/>
  <c r="E97" i="20"/>
  <c r="E110" i="20"/>
  <c r="F110" i="20" s="1"/>
  <c r="F111" i="20" s="1"/>
  <c r="C111" i="20"/>
  <c r="F113" i="20"/>
  <c r="F115" i="20" s="1"/>
  <c r="C115" i="20"/>
  <c r="E115" i="20"/>
  <c r="F119" i="20"/>
  <c r="F124" i="20" s="1"/>
  <c r="C124" i="20"/>
  <c r="E124" i="20"/>
  <c r="E137" i="20"/>
  <c r="E138" i="20" s="1"/>
  <c r="C138" i="20"/>
  <c r="F140" i="20"/>
  <c r="F142" i="20" s="1"/>
  <c r="C142" i="20"/>
  <c r="E142" i="20"/>
  <c r="F145" i="20"/>
  <c r="F147" i="20"/>
  <c r="E148" i="20"/>
  <c r="F149" i="20"/>
  <c r="F152" i="20"/>
  <c r="C153" i="20"/>
  <c r="C154" i="20" s="1"/>
  <c r="E153" i="20"/>
  <c r="B158" i="20"/>
  <c r="C158" i="20"/>
  <c r="C129" i="20" s="1"/>
  <c r="E167" i="20"/>
  <c r="E168" i="20" s="1"/>
  <c r="C168" i="20"/>
  <c r="F170" i="20"/>
  <c r="F172" i="20" s="1"/>
  <c r="C172" i="20"/>
  <c r="E172" i="20"/>
  <c r="F175" i="20"/>
  <c r="F179" i="20"/>
  <c r="F181" i="20"/>
  <c r="F182" i="20"/>
  <c r="F184" i="20"/>
  <c r="F186" i="20"/>
  <c r="C191" i="20"/>
  <c r="E191" i="20"/>
  <c r="C195" i="20"/>
  <c r="E204" i="20"/>
  <c r="F204" i="20" s="1"/>
  <c r="F205" i="20" s="1"/>
  <c r="C205" i="20"/>
  <c r="F207" i="20"/>
  <c r="F208" i="20" s="1"/>
  <c r="C208" i="20"/>
  <c r="E208" i="20"/>
  <c r="F211" i="20"/>
  <c r="C213" i="20"/>
  <c r="C223" i="20" s="1"/>
  <c r="F214" i="20"/>
  <c r="E223" i="20"/>
  <c r="F236" i="20"/>
  <c r="F237" i="20" s="1"/>
  <c r="C237" i="20"/>
  <c r="E237" i="20"/>
  <c r="C240" i="20"/>
  <c r="E240" i="20"/>
  <c r="F240" i="20"/>
  <c r="F245" i="20"/>
  <c r="F252" i="20" s="1"/>
  <c r="C252" i="20"/>
  <c r="E252" i="20"/>
  <c r="F265" i="20"/>
  <c r="F266" i="20" s="1"/>
  <c r="C266" i="20"/>
  <c r="E266" i="20"/>
  <c r="C269" i="20"/>
  <c r="E269" i="20"/>
  <c r="F269" i="20"/>
  <c r="C283" i="20"/>
  <c r="E283" i="20"/>
  <c r="F283" i="20"/>
  <c r="F296" i="20"/>
  <c r="F297" i="20" s="1"/>
  <c r="C297" i="20"/>
  <c r="E297" i="20"/>
  <c r="C300" i="20"/>
  <c r="E300" i="20"/>
  <c r="F300" i="20"/>
  <c r="F303" i="20"/>
  <c r="F305" i="20"/>
  <c r="F307" i="20"/>
  <c r="F309" i="20"/>
  <c r="F312" i="20"/>
  <c r="F314" i="20"/>
  <c r="C315" i="20"/>
  <c r="C323" i="20" s="1"/>
  <c r="F318" i="20"/>
  <c r="F320" i="20"/>
  <c r="F321" i="20"/>
  <c r="F322" i="20"/>
  <c r="E323" i="20"/>
  <c r="B329" i="20"/>
  <c r="C329" i="20"/>
  <c r="D329" i="20"/>
  <c r="B331" i="20"/>
  <c r="C331" i="20"/>
  <c r="D331" i="20"/>
  <c r="F336" i="20"/>
  <c r="F337" i="20" s="1"/>
  <c r="C337" i="20"/>
  <c r="E337" i="20"/>
  <c r="C340" i="20"/>
  <c r="E340" i="20"/>
  <c r="F340" i="20"/>
  <c r="F342" i="20"/>
  <c r="F344" i="20"/>
  <c r="F346" i="20"/>
  <c r="F347" i="20"/>
  <c r="F348" i="20"/>
  <c r="F349" i="20"/>
  <c r="F350" i="20"/>
  <c r="C352" i="20"/>
  <c r="E352" i="20"/>
  <c r="F315" i="20" l="1"/>
  <c r="F323" i="20" s="1"/>
  <c r="C332" i="20"/>
  <c r="C288" i="20" s="1"/>
  <c r="C289" i="20" s="1"/>
  <c r="C292" i="20" s="1"/>
  <c r="C257" i="20" s="1"/>
  <c r="C258" i="20" s="1"/>
  <c r="C261" i="20" s="1"/>
  <c r="C228" i="20" s="1"/>
  <c r="C229" i="20" s="1"/>
  <c r="C232" i="20" s="1"/>
  <c r="C196" i="20" s="1"/>
  <c r="C197" i="20" s="1"/>
  <c r="C200" i="20" s="1"/>
  <c r="C159" i="20" s="1"/>
  <c r="C160" i="20" s="1"/>
  <c r="C163" i="20" s="1"/>
  <c r="C130" i="20" s="1"/>
  <c r="C131" i="20" s="1"/>
  <c r="C134" i="20" s="1"/>
  <c r="C92" i="20"/>
  <c r="D332" i="20"/>
  <c r="D288" i="20" s="1"/>
  <c r="D289" i="20" s="1"/>
  <c r="D292" i="20" s="1"/>
  <c r="D257" i="20" s="1"/>
  <c r="D258" i="20" s="1"/>
  <c r="D261" i="20" s="1"/>
  <c r="D228" i="20" s="1"/>
  <c r="D229" i="20" s="1"/>
  <c r="D232" i="20" s="1"/>
  <c r="D196" i="20" s="1"/>
  <c r="D197" i="20" s="1"/>
  <c r="D200" i="20" s="1"/>
  <c r="D161" i="20" s="1"/>
  <c r="D162" i="20" s="1"/>
  <c r="E14" i="20"/>
  <c r="F167" i="20"/>
  <c r="F168" i="20" s="1"/>
  <c r="F92" i="20"/>
  <c r="F223" i="20"/>
  <c r="E80" i="20"/>
  <c r="F154" i="20"/>
  <c r="F49" i="20"/>
  <c r="F50" i="20" s="1"/>
  <c r="E154" i="20"/>
  <c r="B332" i="20"/>
  <c r="B288" i="20" s="1"/>
  <c r="B289" i="20" s="1"/>
  <c r="B292" i="20" s="1"/>
  <c r="B257" i="20" s="1"/>
  <c r="B258" i="20" s="1"/>
  <c r="B261" i="20" s="1"/>
  <c r="B228" i="20" s="1"/>
  <c r="B229" i="20" s="1"/>
  <c r="B232" i="20" s="1"/>
  <c r="B196" i="20" s="1"/>
  <c r="B197" i="20" s="1"/>
  <c r="F137" i="20"/>
  <c r="F138" i="20" s="1"/>
  <c r="C333" i="20"/>
  <c r="C290" i="20" s="1"/>
  <c r="C291" i="20" s="1"/>
  <c r="C293" i="20" s="1"/>
  <c r="C259" i="20" s="1"/>
  <c r="C260" i="20" s="1"/>
  <c r="C262" i="20" s="1"/>
  <c r="C230" i="20" s="1"/>
  <c r="C231" i="20" s="1"/>
  <c r="C233" i="20" s="1"/>
  <c r="C198" i="20" s="1"/>
  <c r="C199" i="20" s="1"/>
  <c r="C201" i="20" s="1"/>
  <c r="C161" i="20" s="1"/>
  <c r="C162" i="20" s="1"/>
  <c r="C164" i="20" s="1"/>
  <c r="C132" i="20" s="1"/>
  <c r="C133" i="20" s="1"/>
  <c r="C135" i="20" s="1"/>
  <c r="E77" i="20"/>
  <c r="F191" i="20"/>
  <c r="E47" i="20"/>
  <c r="E8" i="20" s="1"/>
  <c r="E10" i="20" s="1"/>
  <c r="F352" i="20"/>
  <c r="D333" i="20" s="1"/>
  <c r="D290" i="20" s="1"/>
  <c r="D291" i="20" s="1"/>
  <c r="B333" i="20"/>
  <c r="B290" i="20" s="1"/>
  <c r="B291" i="20" s="1"/>
  <c r="B293" i="20" s="1"/>
  <c r="B259" i="20" s="1"/>
  <c r="B260" i="20" s="1"/>
  <c r="B262" i="20" s="1"/>
  <c r="B230" i="20" s="1"/>
  <c r="B231" i="20" s="1"/>
  <c r="B233" i="20" s="1"/>
  <c r="B198" i="20" s="1"/>
  <c r="B199" i="20" s="1"/>
  <c r="C102" i="20"/>
  <c r="E205" i="20"/>
  <c r="E111" i="20"/>
  <c r="C103" i="20" l="1"/>
  <c r="C104" i="20" s="1"/>
  <c r="C107" i="20" s="1"/>
  <c r="C72" i="20" s="1"/>
  <c r="C73" i="20" s="1"/>
  <c r="C76" i="20" s="1"/>
  <c r="C42" i="20" s="1"/>
  <c r="C43" i="20" s="1"/>
  <c r="C46" i="20" s="1"/>
  <c r="D164" i="20"/>
  <c r="D132" i="20" s="1"/>
  <c r="D133" i="20" s="1"/>
  <c r="D135" i="20" s="1"/>
  <c r="D105" i="20" s="1"/>
  <c r="D106" i="20" s="1"/>
  <c r="D108" i="20" s="1"/>
  <c r="D74" i="20" s="1"/>
  <c r="D75" i="20" s="1"/>
  <c r="D77" i="20" s="1"/>
  <c r="D44" i="20" s="1"/>
  <c r="D45" i="20" s="1"/>
  <c r="D47" i="20" s="1"/>
  <c r="D7" i="20" s="1"/>
  <c r="D8" i="20" s="1"/>
  <c r="D10" i="20" s="1"/>
  <c r="B200" i="20"/>
  <c r="B159" i="20" s="1"/>
  <c r="B160" i="20" s="1"/>
  <c r="B163" i="20" s="1"/>
  <c r="D293" i="20"/>
  <c r="D259" i="20" s="1"/>
  <c r="D260" i="20" s="1"/>
  <c r="D262" i="20" s="1"/>
  <c r="D230" i="20" s="1"/>
  <c r="D231" i="20" s="1"/>
  <c r="D233" i="20" s="1"/>
  <c r="D198" i="20" s="1"/>
  <c r="D199" i="20" s="1"/>
  <c r="D201" i="20" s="1"/>
  <c r="D159" i="20"/>
  <c r="D160" i="20" s="1"/>
  <c r="D163" i="20" s="1"/>
  <c r="D130" i="20" s="1"/>
  <c r="D131" i="20" s="1"/>
  <c r="D134" i="20" s="1"/>
  <c r="D103" i="20" s="1"/>
  <c r="D104" i="20" s="1"/>
  <c r="D107" i="20" s="1"/>
  <c r="D72" i="20" s="1"/>
  <c r="D73" i="20" s="1"/>
  <c r="D76" i="20" s="1"/>
  <c r="D42" i="20" s="1"/>
  <c r="D43" i="20" s="1"/>
  <c r="D46" i="20" s="1"/>
  <c r="B201" i="20"/>
  <c r="C105" i="20"/>
  <c r="C106" i="20" s="1"/>
  <c r="C108" i="20" s="1"/>
  <c r="C74" i="20" s="1"/>
  <c r="C75" i="20" s="1"/>
  <c r="C77" i="20" s="1"/>
  <c r="C44" i="20" s="1"/>
  <c r="C45" i="20" s="1"/>
  <c r="B161" i="20" l="1"/>
  <c r="B162" i="20" s="1"/>
  <c r="B164" i="20" s="1"/>
  <c r="C5" i="20"/>
  <c r="C6" i="20" s="1"/>
  <c r="C9" i="20" s="1"/>
  <c r="D5" i="20"/>
  <c r="D6" i="20" s="1"/>
  <c r="D9" i="20" s="1"/>
  <c r="C47" i="20"/>
  <c r="C7" i="20" s="1"/>
  <c r="C8" i="20" s="1"/>
  <c r="C10" i="20" s="1"/>
  <c r="B130" i="20"/>
  <c r="B131" i="20" s="1"/>
  <c r="B134" i="20" s="1"/>
  <c r="B103" i="20" s="1"/>
  <c r="B104" i="20" s="1"/>
  <c r="B107" i="20" s="1"/>
  <c r="B72" i="20" s="1"/>
  <c r="B73" i="20" s="1"/>
  <c r="B76" i="20" s="1"/>
  <c r="B42" i="20" s="1"/>
  <c r="B43" i="20" s="1"/>
  <c r="B46" i="20" s="1"/>
  <c r="B5" i="20" s="1"/>
  <c r="B6" i="20" s="1"/>
  <c r="B9" i="20" s="1"/>
  <c r="B132" i="20"/>
  <c r="B133" i="20" s="1"/>
  <c r="B135" i="20" s="1"/>
  <c r="B105" i="20" s="1"/>
  <c r="B106" i="20" s="1"/>
  <c r="B108" i="20" s="1"/>
  <c r="B74" i="20" s="1"/>
  <c r="B75" i="20" s="1"/>
  <c r="B77" i="20" s="1"/>
  <c r="B44" i="20" s="1"/>
  <c r="B45" i="20" s="1"/>
  <c r="B47" i="20" l="1"/>
  <c r="B7" i="20" s="1"/>
  <c r="B8" i="20" s="1"/>
  <c r="B10" i="20" s="1"/>
  <c r="E19" i="14" l="1"/>
  <c r="D19" i="14"/>
  <c r="B19" i="14"/>
  <c r="D15" i="14"/>
  <c r="B15" i="14"/>
  <c r="E15" i="14" s="1"/>
  <c r="F19" i="13"/>
  <c r="E19" i="13"/>
  <c r="C19" i="13"/>
  <c r="F13" i="13"/>
  <c r="E13" i="13"/>
  <c r="C13" i="13"/>
  <c r="E27" i="9"/>
  <c r="F18" i="9"/>
  <c r="E18" i="9"/>
  <c r="C18" i="9"/>
  <c r="F14" i="9"/>
  <c r="E14" i="9"/>
  <c r="C7" i="9"/>
  <c r="C8" i="9" s="1"/>
  <c r="B7" i="9"/>
  <c r="F27" i="8"/>
  <c r="E27" i="8"/>
  <c r="C27" i="8"/>
  <c r="F23" i="8"/>
  <c r="E23" i="8"/>
  <c r="C23" i="8"/>
  <c r="F18" i="8"/>
  <c r="E18" i="8"/>
  <c r="C18" i="8"/>
  <c r="F13" i="8"/>
  <c r="E13" i="8"/>
  <c r="C13" i="8"/>
  <c r="F34" i="7"/>
  <c r="E34" i="7"/>
  <c r="C34" i="7"/>
  <c r="C28" i="7"/>
  <c r="F28" i="7"/>
  <c r="E28" i="7"/>
  <c r="F18" i="7"/>
  <c r="E18" i="7"/>
  <c r="C18" i="7"/>
  <c r="E14" i="7"/>
  <c r="C14" i="7"/>
  <c r="E10" i="7"/>
  <c r="B3" i="6"/>
  <c r="D3" i="6"/>
  <c r="G35" i="6"/>
  <c r="E35" i="6"/>
  <c r="C35" i="6"/>
  <c r="G17" i="6"/>
  <c r="C17" i="6"/>
  <c r="E17" i="6"/>
  <c r="C13" i="6"/>
  <c r="E13" i="6"/>
  <c r="E9" i="6"/>
  <c r="E39" i="13"/>
  <c r="E38" i="14"/>
  <c r="H74" i="17"/>
  <c r="C74" i="17"/>
  <c r="E52" i="6"/>
  <c r="E57" i="7"/>
  <c r="E55" i="7"/>
  <c r="C10" i="9" l="1"/>
  <c r="G30" i="6"/>
  <c r="E60" i="6"/>
  <c r="G60" i="6" s="1"/>
  <c r="C58" i="6" s="1"/>
  <c r="E58" i="6" s="1"/>
  <c r="F59" i="7"/>
  <c r="F74" i="17"/>
  <c r="E74" i="17"/>
  <c r="J74" i="17"/>
  <c r="I74" i="17"/>
  <c r="G92" i="6"/>
  <c r="E125" i="6"/>
  <c r="G125" i="6"/>
  <c r="E30" i="6" l="1"/>
  <c r="C30" i="6"/>
  <c r="G61" i="6"/>
  <c r="F74" i="8"/>
  <c r="F80" i="9"/>
  <c r="C33" i="13"/>
  <c r="D39" i="14"/>
  <c r="B39" i="14"/>
  <c r="D35" i="14"/>
  <c r="B35" i="14"/>
  <c r="B27" i="14"/>
  <c r="C39" i="13"/>
  <c r="F39" i="13"/>
  <c r="F33" i="13"/>
  <c r="E33" i="13"/>
  <c r="D35" i="9"/>
  <c r="D4" i="9" s="1"/>
  <c r="B35" i="9"/>
  <c r="B4" i="9" s="1"/>
  <c r="E41" i="9"/>
  <c r="E10" i="9" s="1"/>
  <c r="F58" i="9"/>
  <c r="E58" i="9"/>
  <c r="C58" i="9"/>
  <c r="F49" i="9"/>
  <c r="E49" i="9"/>
  <c r="C49" i="9"/>
  <c r="F45" i="9"/>
  <c r="E45" i="9"/>
  <c r="E39" i="9"/>
  <c r="C38" i="9"/>
  <c r="C39" i="9" s="1"/>
  <c r="B38" i="9"/>
  <c r="E37" i="9"/>
  <c r="E40" i="9" s="1"/>
  <c r="E6" i="9" s="1"/>
  <c r="D31" i="8"/>
  <c r="D3" i="8" s="1"/>
  <c r="B31" i="8"/>
  <c r="B3" i="8" s="1"/>
  <c r="F55" i="8"/>
  <c r="E55" i="8"/>
  <c r="C55" i="8"/>
  <c r="F51" i="8"/>
  <c r="E51" i="8"/>
  <c r="C51" i="8"/>
  <c r="F46" i="8"/>
  <c r="E46" i="8"/>
  <c r="C46" i="8"/>
  <c r="F41" i="8"/>
  <c r="E41" i="8"/>
  <c r="C41" i="8"/>
  <c r="E35" i="8"/>
  <c r="E33" i="8"/>
  <c r="E36" i="8" s="1"/>
  <c r="D38" i="7"/>
  <c r="D4" i="7" s="1"/>
  <c r="B38" i="7"/>
  <c r="B4" i="7" s="1"/>
  <c r="F68" i="7"/>
  <c r="E68" i="7"/>
  <c r="C68" i="7"/>
  <c r="C62" i="7"/>
  <c r="E62" i="7"/>
  <c r="F62" i="7"/>
  <c r="F52" i="7"/>
  <c r="E52" i="7"/>
  <c r="C52" i="7"/>
  <c r="C48" i="7"/>
  <c r="E48" i="7"/>
  <c r="E42" i="7"/>
  <c r="E40" i="7"/>
  <c r="D39" i="6"/>
  <c r="B39" i="6"/>
  <c r="G71" i="6"/>
  <c r="E71" i="6"/>
  <c r="C71" i="6"/>
  <c r="G66" i="6"/>
  <c r="E66" i="6"/>
  <c r="C66" i="6"/>
  <c r="E53" i="6"/>
  <c r="C53" i="6"/>
  <c r="G51" i="6"/>
  <c r="G53" i="6" s="1"/>
  <c r="C49" i="6"/>
  <c r="E48" i="6"/>
  <c r="E49" i="6" s="1"/>
  <c r="E43" i="6"/>
  <c r="E41" i="6"/>
  <c r="H95" i="17"/>
  <c r="E103" i="17"/>
  <c r="E43" i="17"/>
  <c r="G74" i="17"/>
  <c r="K74" i="17"/>
  <c r="L74" i="17"/>
  <c r="M74" i="17"/>
  <c r="N74" i="17"/>
  <c r="O74" i="17"/>
  <c r="P74" i="17"/>
  <c r="F54" i="17"/>
  <c r="G54" i="17"/>
  <c r="H54" i="17"/>
  <c r="I54" i="17"/>
  <c r="J54" i="17"/>
  <c r="K54" i="17"/>
  <c r="L54" i="17"/>
  <c r="M54" i="17"/>
  <c r="N54" i="17"/>
  <c r="O54" i="17"/>
  <c r="P54" i="17"/>
  <c r="E54" i="17"/>
  <c r="C54" i="17"/>
  <c r="G95" i="6"/>
  <c r="F90" i="7"/>
  <c r="F95" i="7" s="1"/>
  <c r="G100" i="17"/>
  <c r="E98" i="17"/>
  <c r="F85" i="9"/>
  <c r="E92" i="7"/>
  <c r="E95" i="7" s="1"/>
  <c r="F56" i="13"/>
  <c r="F59" i="13" s="1"/>
  <c r="F83" i="9"/>
  <c r="C98" i="17"/>
  <c r="C105" i="17" s="1"/>
  <c r="C85" i="9"/>
  <c r="C89" i="9" s="1"/>
  <c r="F104" i="8"/>
  <c r="F76" i="13"/>
  <c r="F78" i="13"/>
  <c r="J95" i="17"/>
  <c r="F95" i="17"/>
  <c r="F105" i="17"/>
  <c r="H105" i="17"/>
  <c r="I105" i="17"/>
  <c r="J105" i="17"/>
  <c r="K105" i="17"/>
  <c r="L105" i="17"/>
  <c r="M105" i="17"/>
  <c r="N105" i="17"/>
  <c r="O105" i="17"/>
  <c r="P105" i="17"/>
  <c r="I95" i="17"/>
  <c r="E95" i="17"/>
  <c r="G95" i="17"/>
  <c r="C88" i="17"/>
  <c r="C93" i="17"/>
  <c r="C92" i="17"/>
  <c r="C91" i="17"/>
  <c r="C87" i="17"/>
  <c r="E79" i="14"/>
  <c r="E80" i="14" s="1"/>
  <c r="D82" i="14"/>
  <c r="C132" i="17"/>
  <c r="G130" i="6"/>
  <c r="G132" i="6"/>
  <c r="F76" i="9"/>
  <c r="F117" i="9"/>
  <c r="G163" i="6"/>
  <c r="M6" i="12"/>
  <c r="H7" i="12"/>
  <c r="C8" i="12"/>
  <c r="D8" i="12"/>
  <c r="E8" i="12"/>
  <c r="D7" i="12"/>
  <c r="E7" i="12"/>
  <c r="C5" i="12"/>
  <c r="D5" i="12"/>
  <c r="B5" i="12"/>
  <c r="E5" i="12"/>
  <c r="E6" i="12" s="1"/>
  <c r="R39" i="17"/>
  <c r="R78" i="17"/>
  <c r="D60" i="14"/>
  <c r="B60" i="14"/>
  <c r="E58" i="14"/>
  <c r="E57" i="14"/>
  <c r="E60" i="14" s="1"/>
  <c r="D55" i="14"/>
  <c r="B55" i="14"/>
  <c r="B47" i="14"/>
  <c r="E59" i="13"/>
  <c r="C59" i="13"/>
  <c r="F53" i="13"/>
  <c r="E53" i="13"/>
  <c r="E70" i="9"/>
  <c r="E72" i="9" s="1"/>
  <c r="E68" i="9"/>
  <c r="E71" i="9" s="1"/>
  <c r="E89" i="9"/>
  <c r="E80" i="9"/>
  <c r="C80" i="9"/>
  <c r="E76" i="9"/>
  <c r="E63" i="8"/>
  <c r="E61" i="8"/>
  <c r="F83" i="8"/>
  <c r="E83" i="8"/>
  <c r="C83" i="8"/>
  <c r="F79" i="8"/>
  <c r="E79" i="8"/>
  <c r="C79" i="8"/>
  <c r="E74" i="8"/>
  <c r="C74" i="8"/>
  <c r="F69" i="8"/>
  <c r="E69" i="8"/>
  <c r="C69" i="8"/>
  <c r="F101" i="7"/>
  <c r="E101" i="7"/>
  <c r="C101" i="7"/>
  <c r="C95" i="7"/>
  <c r="E76" i="7"/>
  <c r="E74" i="7"/>
  <c r="F86" i="7"/>
  <c r="E86" i="7"/>
  <c r="C86" i="7"/>
  <c r="C82" i="7"/>
  <c r="E81" i="7"/>
  <c r="E82" i="7" s="1"/>
  <c r="G104" i="6"/>
  <c r="E104" i="6"/>
  <c r="C104" i="6"/>
  <c r="E79" i="6"/>
  <c r="E77" i="6"/>
  <c r="E99" i="6"/>
  <c r="C99" i="6"/>
  <c r="E89" i="6"/>
  <c r="C89" i="6"/>
  <c r="G87" i="6"/>
  <c r="G89" i="6" s="1"/>
  <c r="C85" i="6"/>
  <c r="E84" i="6"/>
  <c r="E85" i="6" s="1"/>
  <c r="B7" i="12"/>
  <c r="F126" i="7"/>
  <c r="C126" i="7"/>
  <c r="P136" i="17"/>
  <c r="J128" i="17"/>
  <c r="I128" i="17" s="1"/>
  <c r="H128" i="17"/>
  <c r="G128" i="17" s="1"/>
  <c r="L126" i="17"/>
  <c r="K126" i="17" s="1"/>
  <c r="P126" i="17"/>
  <c r="P132" i="17" s="1"/>
  <c r="N126" i="17"/>
  <c r="M126" i="17" s="1"/>
  <c r="J126" i="17"/>
  <c r="I126" i="17" s="1"/>
  <c r="H126" i="17"/>
  <c r="F126" i="17"/>
  <c r="E126" i="17" s="1"/>
  <c r="C102" i="8"/>
  <c r="E102" i="8"/>
  <c r="E135" i="17"/>
  <c r="R109" i="17"/>
  <c r="F115" i="9"/>
  <c r="F102" i="8"/>
  <c r="D110" i="17"/>
  <c r="D111" i="17" s="1"/>
  <c r="E110" i="17"/>
  <c r="E111" i="17" s="1"/>
  <c r="E114" i="17" s="1"/>
  <c r="N79" i="17" s="1"/>
  <c r="N80" i="17" s="1"/>
  <c r="F110" i="17"/>
  <c r="F111" i="17" s="1"/>
  <c r="F114" i="17" s="1"/>
  <c r="G110" i="17"/>
  <c r="G111" i="17" s="1"/>
  <c r="G114" i="17" s="1"/>
  <c r="P79" i="17" s="1"/>
  <c r="P80" i="17" s="1"/>
  <c r="D112" i="17"/>
  <c r="D113" i="17" s="1"/>
  <c r="E112" i="17"/>
  <c r="E113" i="17" s="1"/>
  <c r="F112" i="17"/>
  <c r="F113" i="17" s="1"/>
  <c r="G112" i="17"/>
  <c r="G113" i="17" s="1"/>
  <c r="C112" i="17"/>
  <c r="C113" i="17" s="1"/>
  <c r="B112" i="17"/>
  <c r="B113" i="17" s="1"/>
  <c r="C110" i="17"/>
  <c r="C111" i="17" s="1"/>
  <c r="B110" i="17"/>
  <c r="B111" i="17" s="1"/>
  <c r="B82" i="14"/>
  <c r="E78" i="14"/>
  <c r="D76" i="14"/>
  <c r="B76" i="14"/>
  <c r="C68" i="14"/>
  <c r="B68" i="14"/>
  <c r="E80" i="13"/>
  <c r="C80" i="13"/>
  <c r="F73" i="13"/>
  <c r="E73" i="13"/>
  <c r="U5" i="12"/>
  <c r="S5" i="12"/>
  <c r="E120" i="9"/>
  <c r="U7" i="12" s="1"/>
  <c r="C120" i="9"/>
  <c r="F112" i="9"/>
  <c r="T8" i="12" s="1"/>
  <c r="C112" i="9"/>
  <c r="E112" i="9"/>
  <c r="T7" i="12" s="1"/>
  <c r="F108" i="9"/>
  <c r="S8" i="12" s="1"/>
  <c r="E108" i="9"/>
  <c r="S7" i="12" s="1"/>
  <c r="C108" i="9"/>
  <c r="F141" i="9"/>
  <c r="E171" i="9"/>
  <c r="C171" i="9"/>
  <c r="F168" i="9"/>
  <c r="F166" i="9"/>
  <c r="E163" i="9"/>
  <c r="C163" i="9"/>
  <c r="F161" i="9"/>
  <c r="F163" i="9" s="1"/>
  <c r="F159" i="9"/>
  <c r="C159" i="9"/>
  <c r="E158" i="9"/>
  <c r="E159" i="9" s="1"/>
  <c r="B8" i="9" l="1"/>
  <c r="B10" i="9" s="1"/>
  <c r="E37" i="8"/>
  <c r="D9" i="6"/>
  <c r="D8" i="6"/>
  <c r="E43" i="7"/>
  <c r="E44" i="6"/>
  <c r="E39" i="14"/>
  <c r="E35" i="14"/>
  <c r="B29" i="14" s="1"/>
  <c r="E55" i="14"/>
  <c r="B49" i="14" s="1"/>
  <c r="F80" i="13"/>
  <c r="B39" i="9"/>
  <c r="B41" i="9" s="1"/>
  <c r="B5" i="9" s="1"/>
  <c r="B6" i="9" s="1"/>
  <c r="B9" i="9" s="1"/>
  <c r="C41" i="9"/>
  <c r="C5" i="9" s="1"/>
  <c r="C6" i="9" s="1"/>
  <c r="C9" i="9" s="1"/>
  <c r="F89" i="9"/>
  <c r="F120" i="9"/>
  <c r="E64" i="8"/>
  <c r="E65" i="8"/>
  <c r="E44" i="7"/>
  <c r="E45" i="6"/>
  <c r="G99" i="6"/>
  <c r="P83" i="17"/>
  <c r="P40" i="17" s="1"/>
  <c r="P41" i="17" s="1"/>
  <c r="P44" i="17" s="1"/>
  <c r="P6" i="17" s="1"/>
  <c r="P9" i="17" s="1"/>
  <c r="E9" i="12"/>
  <c r="E105" i="17"/>
  <c r="E77" i="7"/>
  <c r="E78" i="7"/>
  <c r="G105" i="17"/>
  <c r="E80" i="6"/>
  <c r="C95" i="17"/>
  <c r="E82" i="14"/>
  <c r="C70" i="14" s="1"/>
  <c r="C46" i="14" s="1"/>
  <c r="N83" i="17"/>
  <c r="N40" i="17" s="1"/>
  <c r="N41" i="17" s="1"/>
  <c r="N44" i="17" s="1"/>
  <c r="N6" i="17" s="1"/>
  <c r="N9" i="17" s="1"/>
  <c r="O79" i="17"/>
  <c r="O80" i="17" s="1"/>
  <c r="O83" i="17" s="1"/>
  <c r="O40" i="17" s="1"/>
  <c r="O41" i="17" s="1"/>
  <c r="O44" i="17" s="1"/>
  <c r="O6" i="17" s="1"/>
  <c r="O9" i="17" s="1"/>
  <c r="E81" i="6"/>
  <c r="E40" i="17"/>
  <c r="E41" i="17" s="1"/>
  <c r="H132" i="17"/>
  <c r="E76" i="14"/>
  <c r="B70" i="14" s="1"/>
  <c r="F132" i="17"/>
  <c r="D114" i="17" s="1"/>
  <c r="E132" i="17"/>
  <c r="I132" i="17"/>
  <c r="M132" i="17"/>
  <c r="K132" i="17"/>
  <c r="J132" i="17"/>
  <c r="G126" i="17"/>
  <c r="G132" i="17" s="1"/>
  <c r="L132" i="17"/>
  <c r="N132" i="17"/>
  <c r="O126" i="17"/>
  <c r="O132" i="17" s="1"/>
  <c r="G115" i="17" s="1"/>
  <c r="P81" i="17" s="1"/>
  <c r="P82" i="17" s="1"/>
  <c r="P84" i="17" s="1"/>
  <c r="P42" i="17" s="1"/>
  <c r="P43" i="17" s="1"/>
  <c r="P45" i="17" s="1"/>
  <c r="P7" i="17" s="1"/>
  <c r="P8" i="17" s="1"/>
  <c r="P10" i="17" s="1"/>
  <c r="F171" i="9"/>
  <c r="B4" i="14" l="1"/>
  <c r="B7" i="14"/>
  <c r="B9" i="14" s="1"/>
  <c r="C47" i="14"/>
  <c r="C49" i="14" s="1"/>
  <c r="C27" i="14" s="1"/>
  <c r="C29" i="14" s="1"/>
  <c r="C7" i="14" s="1"/>
  <c r="C9" i="14" s="1"/>
  <c r="C7" i="12"/>
  <c r="B8" i="12"/>
  <c r="M79" i="17"/>
  <c r="M80" i="17" s="1"/>
  <c r="M83" i="17" s="1"/>
  <c r="M40" i="17" s="1"/>
  <c r="M41" i="17" s="1"/>
  <c r="M44" i="17" s="1"/>
  <c r="M6" i="17" s="1"/>
  <c r="M9" i="17" s="1"/>
  <c r="D79" i="17"/>
  <c r="D80" i="17" s="1"/>
  <c r="D83" i="17" s="1"/>
  <c r="D40" i="17" s="1"/>
  <c r="D41" i="17" s="1"/>
  <c r="D44" i="17" s="1"/>
  <c r="D6" i="17" s="1"/>
  <c r="D9" i="17" s="1"/>
  <c r="D115" i="17"/>
  <c r="C115" i="17"/>
  <c r="F115" i="17"/>
  <c r="E115" i="17"/>
  <c r="B114" i="17"/>
  <c r="P135" i="17"/>
  <c r="B115" i="17"/>
  <c r="C114" i="17"/>
  <c r="Q5" i="12"/>
  <c r="P7" i="12"/>
  <c r="O7" i="12"/>
  <c r="O5" i="12"/>
  <c r="F106" i="8"/>
  <c r="P8" i="12" s="1"/>
  <c r="E106" i="8"/>
  <c r="Q7" i="12" s="1"/>
  <c r="C106" i="8"/>
  <c r="F97" i="8"/>
  <c r="O8" i="12" s="1"/>
  <c r="E97" i="8"/>
  <c r="C97" i="8"/>
  <c r="L5" i="12"/>
  <c r="K8" i="12"/>
  <c r="K7" i="12"/>
  <c r="J8" i="12"/>
  <c r="J5" i="12"/>
  <c r="E126" i="7"/>
  <c r="L7" i="12" s="1"/>
  <c r="E119" i="7"/>
  <c r="C119" i="7"/>
  <c r="F119" i="7"/>
  <c r="C115" i="7"/>
  <c r="E114" i="7"/>
  <c r="E115" i="7" s="1"/>
  <c r="J7" i="12" s="1"/>
  <c r="F8" i="12"/>
  <c r="F5" i="12"/>
  <c r="E138" i="6"/>
  <c r="I7" i="12" s="1"/>
  <c r="C138" i="6"/>
  <c r="E122" i="6"/>
  <c r="G7" i="12" s="1"/>
  <c r="C122" i="6"/>
  <c r="G120" i="6"/>
  <c r="G122" i="6" s="1"/>
  <c r="G8" i="12" s="1"/>
  <c r="C118" i="6"/>
  <c r="E117" i="6"/>
  <c r="E118" i="6" s="1"/>
  <c r="F7" i="12" s="1"/>
  <c r="F146" i="7"/>
  <c r="G159" i="6"/>
  <c r="C138" i="9"/>
  <c r="E123" i="8"/>
  <c r="E125" i="8" s="1"/>
  <c r="C125" i="8"/>
  <c r="C144" i="7"/>
  <c r="E144" i="7"/>
  <c r="E100" i="14"/>
  <c r="C161" i="6"/>
  <c r="G161" i="6" s="1"/>
  <c r="G162" i="6" s="1"/>
  <c r="W7" i="12"/>
  <c r="X5" i="12"/>
  <c r="W5" i="12"/>
  <c r="F97" i="13"/>
  <c r="E136" i="9"/>
  <c r="E138" i="9" s="1"/>
  <c r="K79" i="17" l="1"/>
  <c r="K80" i="17" s="1"/>
  <c r="K83" i="17" s="1"/>
  <c r="K40" i="17" s="1"/>
  <c r="K41" i="17" s="1"/>
  <c r="K44" i="17" s="1"/>
  <c r="K6" i="17" s="1"/>
  <c r="K9" i="17" s="1"/>
  <c r="B79" i="17"/>
  <c r="B80" i="17" s="1"/>
  <c r="O81" i="17"/>
  <c r="O82" i="17" s="1"/>
  <c r="O84" i="17" s="1"/>
  <c r="O42" i="17" s="1"/>
  <c r="O43" i="17" s="1"/>
  <c r="O45" i="17" s="1"/>
  <c r="O7" i="17" s="1"/>
  <c r="O8" i="17" s="1"/>
  <c r="O10" i="17" s="1"/>
  <c r="N81" i="17"/>
  <c r="N82" i="17" s="1"/>
  <c r="N84" i="17" s="1"/>
  <c r="N42" i="17" s="1"/>
  <c r="N43" i="17" s="1"/>
  <c r="N45" i="17" s="1"/>
  <c r="N7" i="17" s="1"/>
  <c r="N8" i="17" s="1"/>
  <c r="N10" i="17" s="1"/>
  <c r="M81" i="17"/>
  <c r="K81" i="17"/>
  <c r="K82" i="17" s="1"/>
  <c r="K84" i="17" s="1"/>
  <c r="K42" i="17" s="1"/>
  <c r="K43" i="17" s="1"/>
  <c r="K45" i="17" s="1"/>
  <c r="K7" i="17" s="1"/>
  <c r="K8" i="17" s="1"/>
  <c r="K10" i="17" s="1"/>
  <c r="B81" i="17"/>
  <c r="B82" i="17" s="1"/>
  <c r="B84" i="17" s="1"/>
  <c r="C79" i="17"/>
  <c r="C80" i="17" s="1"/>
  <c r="C83" i="17" s="1"/>
  <c r="C40" i="17" s="1"/>
  <c r="C41" i="17" s="1"/>
  <c r="C44" i="17" s="1"/>
  <c r="L79" i="17"/>
  <c r="L80" i="17" s="1"/>
  <c r="L83" i="17" s="1"/>
  <c r="L40" i="17" s="1"/>
  <c r="L41" i="17" s="1"/>
  <c r="L81" i="17"/>
  <c r="E172" i="6"/>
  <c r="C172" i="6"/>
  <c r="G172" i="6"/>
  <c r="E156" i="6"/>
  <c r="C156" i="6"/>
  <c r="G154" i="6"/>
  <c r="C152" i="6"/>
  <c r="E151" i="6"/>
  <c r="E152" i="6" s="1"/>
  <c r="C177" i="6"/>
  <c r="E186" i="6"/>
  <c r="E187" i="6" s="1"/>
  <c r="C187" i="6"/>
  <c r="G189" i="6"/>
  <c r="G191" i="6" s="1"/>
  <c r="C191" i="6"/>
  <c r="E191" i="6"/>
  <c r="G193" i="6"/>
  <c r="G194" i="6"/>
  <c r="G195" i="6"/>
  <c r="G196" i="6"/>
  <c r="C6" i="17" l="1"/>
  <c r="C9" i="17" s="1"/>
  <c r="D81" i="17"/>
  <c r="D82" i="17" s="1"/>
  <c r="D84" i="17" s="1"/>
  <c r="D42" i="17" s="1"/>
  <c r="D43" i="17" s="1"/>
  <c r="D45" i="17" s="1"/>
  <c r="D8" i="17" s="1"/>
  <c r="D10" i="17" s="1"/>
  <c r="M82" i="17"/>
  <c r="M84" i="17" s="1"/>
  <c r="M42" i="17" s="1"/>
  <c r="M43" i="17" s="1"/>
  <c r="M45" i="17" s="1"/>
  <c r="M7" i="17" s="1"/>
  <c r="M8" i="17" s="1"/>
  <c r="M10" i="17" s="1"/>
  <c r="C81" i="17"/>
  <c r="C82" i="17" s="1"/>
  <c r="C84" i="17" s="1"/>
  <c r="C42" i="17" s="1"/>
  <c r="C43" i="17" s="1"/>
  <c r="C45" i="17" s="1"/>
  <c r="C7" i="17" s="1"/>
  <c r="L82" i="17"/>
  <c r="L84" i="17" s="1"/>
  <c r="L42" i="17" s="1"/>
  <c r="L43" i="17" s="1"/>
  <c r="B42" i="17"/>
  <c r="B43" i="17" s="1"/>
  <c r="B45" i="17" s="1"/>
  <c r="B83" i="17"/>
  <c r="G138" i="6"/>
  <c r="G156" i="6"/>
  <c r="C142" i="6"/>
  <c r="C108" i="6" s="1"/>
  <c r="H5" i="12" s="1"/>
  <c r="C8" i="17" l="1"/>
  <c r="C10" i="17" s="1"/>
  <c r="B7" i="17"/>
  <c r="B8" i="17" s="1"/>
  <c r="B10" i="17" s="1"/>
  <c r="B40" i="17"/>
  <c r="B41" i="17" s="1"/>
  <c r="B44" i="17" s="1"/>
  <c r="G5" i="12"/>
  <c r="D103" i="14"/>
  <c r="B103" i="14"/>
  <c r="E103" i="14"/>
  <c r="D98" i="14"/>
  <c r="B98" i="14"/>
  <c r="C90" i="14"/>
  <c r="B90" i="14"/>
  <c r="E101" i="13"/>
  <c r="X7" i="12" s="1"/>
  <c r="C101" i="13"/>
  <c r="F101" i="13"/>
  <c r="F94" i="13"/>
  <c r="W8" i="12" s="1"/>
  <c r="E94" i="13"/>
  <c r="C94" i="13"/>
  <c r="E129" i="8"/>
  <c r="C129" i="8"/>
  <c r="F125" i="8"/>
  <c r="F120" i="8"/>
  <c r="E120" i="8"/>
  <c r="C120" i="8"/>
  <c r="E148" i="7"/>
  <c r="C148" i="7"/>
  <c r="F143" i="7"/>
  <c r="F144" i="7" s="1"/>
  <c r="G140" i="7"/>
  <c r="C140" i="7"/>
  <c r="E139" i="7"/>
  <c r="E140" i="7" s="1"/>
  <c r="B6" i="17" l="1"/>
  <c r="B9" i="17" s="1"/>
  <c r="C92" i="14"/>
  <c r="E98" i="14"/>
  <c r="B92" i="14" s="1"/>
  <c r="F129" i="8"/>
  <c r="F148" i="7"/>
  <c r="F176" i="7" l="1"/>
  <c r="F118" i="13"/>
  <c r="F150" i="8"/>
  <c r="F170" i="7"/>
  <c r="F120" i="13" l="1"/>
  <c r="G241" i="6" l="1"/>
  <c r="F154" i="8" l="1"/>
  <c r="F172" i="7" l="1"/>
  <c r="F152" i="8"/>
  <c r="F174" i="7" l="1"/>
  <c r="F169" i="7" l="1"/>
  <c r="E198" i="7" l="1"/>
  <c r="D123" i="14" l="1"/>
  <c r="B123" i="14"/>
  <c r="E121" i="14"/>
  <c r="E123" i="14" s="1"/>
  <c r="D119" i="14"/>
  <c r="B119" i="14"/>
  <c r="C111" i="14"/>
  <c r="B111" i="14"/>
  <c r="B109" i="14"/>
  <c r="C109" i="14"/>
  <c r="C113" i="14" l="1"/>
  <c r="B112" i="14"/>
  <c r="B87" i="14" s="1"/>
  <c r="B88" i="14" s="1"/>
  <c r="B91" i="14" s="1"/>
  <c r="B65" i="14" s="1"/>
  <c r="B66" i="14" s="1"/>
  <c r="B69" i="14" s="1"/>
  <c r="B44" i="14" s="1"/>
  <c r="B45" i="14" s="1"/>
  <c r="E119" i="14"/>
  <c r="B113" i="14" s="1"/>
  <c r="C112" i="14"/>
  <c r="C87" i="14" s="1"/>
  <c r="C88" i="14" s="1"/>
  <c r="C91" i="14" s="1"/>
  <c r="C65" i="14" s="1"/>
  <c r="C66" i="14" s="1"/>
  <c r="C69" i="14" s="1"/>
  <c r="C44" i="14" s="1"/>
  <c r="C45" i="14" s="1"/>
  <c r="C122" i="13"/>
  <c r="F122" i="13"/>
  <c r="B48" i="14" l="1"/>
  <c r="B25" i="14"/>
  <c r="B28" i="14" s="1"/>
  <c r="C48" i="14"/>
  <c r="C24" i="14" s="1"/>
  <c r="C25" i="14" s="1"/>
  <c r="C28" i="14" s="1"/>
  <c r="C4" i="14" s="1"/>
  <c r="C5" i="14" s="1"/>
  <c r="E142" i="13"/>
  <c r="F140" i="13"/>
  <c r="F142" i="13" s="1"/>
  <c r="C198" i="7" l="1"/>
  <c r="C192" i="9"/>
  <c r="C147" i="8"/>
  <c r="F147" i="8"/>
  <c r="E122" i="13" l="1"/>
  <c r="F115" i="13"/>
  <c r="E115" i="13"/>
  <c r="C115" i="13"/>
  <c r="E145" i="9"/>
  <c r="C145" i="9"/>
  <c r="F145" i="9"/>
  <c r="F138" i="9"/>
  <c r="F134" i="9"/>
  <c r="C134" i="9"/>
  <c r="E134" i="9"/>
  <c r="C133" i="8"/>
  <c r="E156" i="8"/>
  <c r="C156" i="8"/>
  <c r="F149" i="8"/>
  <c r="F156" i="8" s="1"/>
  <c r="E147" i="8"/>
  <c r="F143" i="8"/>
  <c r="C143" i="8"/>
  <c r="E143" i="8"/>
  <c r="C110" i="8" l="1"/>
  <c r="C87" i="8" s="1"/>
  <c r="P5" i="12" s="1"/>
  <c r="C152" i="7"/>
  <c r="E180" i="7"/>
  <c r="C180" i="7"/>
  <c r="F168" i="7"/>
  <c r="F180" i="7" s="1"/>
  <c r="E166" i="7"/>
  <c r="C166" i="7"/>
  <c r="F165" i="7"/>
  <c r="F164" i="7"/>
  <c r="F162" i="7"/>
  <c r="C162" i="7"/>
  <c r="E161" i="7"/>
  <c r="E162" i="7" s="1"/>
  <c r="E210" i="6"/>
  <c r="C210" i="6"/>
  <c r="G210" i="6"/>
  <c r="F166" i="7" l="1"/>
  <c r="C130" i="7"/>
  <c r="C105" i="7" s="1"/>
  <c r="G271" i="6"/>
  <c r="F195" i="9" l="1"/>
  <c r="G274" i="6" l="1"/>
  <c r="G237" i="6" l="1"/>
  <c r="F197" i="9" l="1"/>
  <c r="F201" i="7" l="1"/>
  <c r="G226" i="6" l="1"/>
  <c r="G230" i="6"/>
  <c r="G235" i="6" l="1"/>
  <c r="G239" i="6" l="1"/>
  <c r="F178" i="8" l="1"/>
  <c r="F177" i="8"/>
  <c r="F237" i="7" l="1"/>
  <c r="F235" i="7" l="1"/>
  <c r="E217" i="9" l="1"/>
  <c r="E198" i="8"/>
  <c r="E199" i="8" s="1"/>
  <c r="E226" i="7"/>
  <c r="E227" i="7" s="1"/>
  <c r="F207" i="8"/>
  <c r="F205" i="8"/>
  <c r="F199" i="8" l="1"/>
  <c r="E187" i="9" l="1"/>
  <c r="E169" i="8"/>
  <c r="E193" i="7"/>
  <c r="E223" i="6"/>
  <c r="E14" i="15" l="1"/>
  <c r="E14" i="16"/>
  <c r="B145" i="14" l="1"/>
  <c r="E142" i="14"/>
  <c r="E145" i="14" s="1"/>
  <c r="AA8" i="12" s="1"/>
  <c r="D140" i="14"/>
  <c r="Z7" i="12" s="1"/>
  <c r="B140" i="14"/>
  <c r="C142" i="13"/>
  <c r="F136" i="13"/>
  <c r="E136" i="13"/>
  <c r="C136" i="13"/>
  <c r="C178" i="9"/>
  <c r="C149" i="9" s="1"/>
  <c r="F200" i="9"/>
  <c r="E200" i="9"/>
  <c r="C200" i="9"/>
  <c r="E192" i="9"/>
  <c r="F190" i="9"/>
  <c r="F192" i="9" s="1"/>
  <c r="E188" i="9"/>
  <c r="C188" i="9"/>
  <c r="F188" i="9"/>
  <c r="C160" i="8"/>
  <c r="E181" i="8"/>
  <c r="C181" i="8"/>
  <c r="F176" i="8"/>
  <c r="E174" i="8"/>
  <c r="C174" i="8"/>
  <c r="F174" i="8"/>
  <c r="F170" i="8"/>
  <c r="E170" i="8"/>
  <c r="C170" i="8"/>
  <c r="C184" i="7"/>
  <c r="E209" i="7"/>
  <c r="C209" i="7"/>
  <c r="F200" i="7"/>
  <c r="F197" i="7"/>
  <c r="F194" i="7"/>
  <c r="E194" i="7"/>
  <c r="C194" i="7"/>
  <c r="C214" i="6"/>
  <c r="E245" i="6"/>
  <c r="C245" i="6"/>
  <c r="G229" i="6"/>
  <c r="G245" i="6" s="1"/>
  <c r="G227" i="6"/>
  <c r="E227" i="6"/>
  <c r="C227" i="6"/>
  <c r="G224" i="6"/>
  <c r="E224" i="6"/>
  <c r="C224" i="6"/>
  <c r="C124" i="9" l="1"/>
  <c r="C98" i="9" s="1"/>
  <c r="T5" i="12" s="1"/>
  <c r="E140" i="14"/>
  <c r="D145" i="14"/>
  <c r="F181" i="8"/>
  <c r="F198" i="7"/>
  <c r="F209" i="7"/>
  <c r="F210" i="13" l="1"/>
  <c r="G345" i="6" l="1"/>
  <c r="G273" i="6"/>
  <c r="G265" i="6" l="1"/>
  <c r="F233" i="7" l="1"/>
  <c r="D163" i="14" l="1"/>
  <c r="G269" i="6" l="1"/>
  <c r="C265" i="6" l="1"/>
  <c r="G267" i="6"/>
  <c r="E15" i="16" l="1"/>
  <c r="C15" i="16"/>
  <c r="B6" i="16" s="1"/>
  <c r="B5" i="16"/>
  <c r="E15" i="15"/>
  <c r="C15" i="15"/>
  <c r="B6" i="15" s="1"/>
  <c r="B7" i="16" l="1"/>
  <c r="B5" i="15"/>
  <c r="B7" i="15" s="1"/>
  <c r="F230" i="7"/>
  <c r="F185" i="13" l="1"/>
  <c r="E187" i="14" l="1"/>
  <c r="F270" i="7" l="1"/>
  <c r="C214" i="9" l="1"/>
  <c r="E160" i="13"/>
  <c r="C160" i="13"/>
  <c r="F160" i="13"/>
  <c r="F156" i="13"/>
  <c r="E156" i="13"/>
  <c r="C156" i="13"/>
  <c r="E225" i="9"/>
  <c r="C225" i="9"/>
  <c r="F225" i="9"/>
  <c r="E218" i="9"/>
  <c r="C218" i="9"/>
  <c r="F216" i="9"/>
  <c r="F218" i="9" s="1"/>
  <c r="E214" i="9"/>
  <c r="F213" i="9"/>
  <c r="F214" i="9" s="1"/>
  <c r="B207" i="9"/>
  <c r="B208" i="9" s="1"/>
  <c r="E210" i="8"/>
  <c r="C210" i="8"/>
  <c r="F203" i="8"/>
  <c r="F202" i="8"/>
  <c r="F201" i="8"/>
  <c r="C199" i="8"/>
  <c r="F195" i="8"/>
  <c r="E195" i="8"/>
  <c r="C195" i="8"/>
  <c r="F266" i="7"/>
  <c r="G313" i="6"/>
  <c r="D165" i="14"/>
  <c r="B165" i="14"/>
  <c r="E163" i="14"/>
  <c r="E165" i="14" s="1"/>
  <c r="B161" i="14"/>
  <c r="E161" i="14" l="1"/>
  <c r="F210" i="8"/>
  <c r="B210" i="9"/>
  <c r="B181" i="9" s="1"/>
  <c r="B152" i="9" s="1"/>
  <c r="B153" i="9" s="1"/>
  <c r="B155" i="9" s="1"/>
  <c r="E240" i="7"/>
  <c r="C240" i="7"/>
  <c r="F229" i="7"/>
  <c r="C227" i="7"/>
  <c r="F226" i="7"/>
  <c r="F227" i="7" s="1"/>
  <c r="F223" i="7"/>
  <c r="E223" i="7"/>
  <c r="C223" i="7"/>
  <c r="F240" i="7" l="1"/>
  <c r="E276" i="6"/>
  <c r="C276" i="6"/>
  <c r="G264" i="6"/>
  <c r="G262" i="6"/>
  <c r="E262" i="6"/>
  <c r="C262" i="6"/>
  <c r="G259" i="6"/>
  <c r="E259" i="6"/>
  <c r="C259" i="6"/>
  <c r="G276" i="6" l="1"/>
  <c r="F189" i="13"/>
  <c r="F190" i="13" s="1"/>
  <c r="E179" i="14" l="1"/>
  <c r="E182" i="14" s="1"/>
  <c r="F297" i="7" l="1"/>
  <c r="E192" i="13" l="1"/>
  <c r="C192" i="13"/>
  <c r="C36" i="12" l="1"/>
  <c r="C318" i="6" l="1"/>
  <c r="G317" i="6"/>
  <c r="E318" i="6" l="1"/>
  <c r="F183" i="13" l="1"/>
  <c r="G314" i="6" l="1"/>
  <c r="G315" i="6" s="1"/>
  <c r="C274" i="7"/>
  <c r="G311" i="6" l="1"/>
  <c r="C354" i="6" l="1"/>
  <c r="G309" i="6" l="1"/>
  <c r="G308" i="6"/>
  <c r="F249" i="8" l="1"/>
  <c r="G306" i="6" l="1"/>
  <c r="G305" i="6" l="1"/>
  <c r="F273" i="9" l="1"/>
  <c r="F254" i="8"/>
  <c r="F302" i="7"/>
  <c r="C358" i="6" l="1"/>
  <c r="E358" i="6"/>
  <c r="E261" i="8"/>
  <c r="F256" i="8" l="1"/>
  <c r="D187" i="14" l="1"/>
  <c r="B187" i="14"/>
  <c r="D182" i="14"/>
  <c r="B182" i="14"/>
  <c r="F177" i="13"/>
  <c r="F179" i="13"/>
  <c r="F181" i="13"/>
  <c r="F180" i="13"/>
  <c r="F174" i="13"/>
  <c r="E174" i="13"/>
  <c r="C174" i="13"/>
  <c r="F248" i="9"/>
  <c r="F249" i="9"/>
  <c r="C250" i="9"/>
  <c r="E250" i="9"/>
  <c r="F247" i="9"/>
  <c r="F245" i="9"/>
  <c r="F244" i="9"/>
  <c r="E242" i="9"/>
  <c r="C242" i="9"/>
  <c r="F241" i="9"/>
  <c r="F242" i="9" s="1"/>
  <c r="E239" i="9"/>
  <c r="C239" i="9"/>
  <c r="F238" i="9"/>
  <c r="F239" i="9" s="1"/>
  <c r="F229" i="8"/>
  <c r="F231" i="8"/>
  <c r="E233" i="8"/>
  <c r="C233" i="8"/>
  <c r="F232" i="8"/>
  <c r="F230" i="8"/>
  <c r="F227" i="8"/>
  <c r="E227" i="8"/>
  <c r="C227" i="8"/>
  <c r="F224" i="8"/>
  <c r="E224" i="8"/>
  <c r="C224" i="8"/>
  <c r="E274" i="7"/>
  <c r="F272" i="7"/>
  <c r="F269" i="7"/>
  <c r="F268" i="7"/>
  <c r="F262" i="7"/>
  <c r="F261" i="7"/>
  <c r="E259" i="7"/>
  <c r="C259" i="7"/>
  <c r="F258" i="7"/>
  <c r="F259" i="7" s="1"/>
  <c r="F255" i="7"/>
  <c r="E255" i="7"/>
  <c r="C255" i="7"/>
  <c r="G296" i="6"/>
  <c r="G297" i="6"/>
  <c r="G301" i="6"/>
  <c r="G300" i="6"/>
  <c r="G294" i="6"/>
  <c r="E294" i="6"/>
  <c r="C294" i="6"/>
  <c r="G291" i="6"/>
  <c r="E291" i="6"/>
  <c r="C291" i="6"/>
  <c r="F192" i="13" l="1"/>
  <c r="G318" i="6"/>
  <c r="F274" i="7"/>
  <c r="F250" i="9"/>
  <c r="F233" i="8"/>
  <c r="F257" i="8" l="1"/>
  <c r="G343" i="6" l="1"/>
  <c r="E214" i="13" l="1"/>
  <c r="C214" i="13"/>
  <c r="E304" i="7"/>
  <c r="C304" i="7"/>
  <c r="G36" i="12"/>
  <c r="G355" i="6"/>
  <c r="F231" i="13" l="1"/>
  <c r="F334" i="7"/>
  <c r="C261" i="8" l="1"/>
  <c r="E277" i="9" l="1"/>
  <c r="F277" i="9" s="1"/>
  <c r="G379" i="6" l="1"/>
  <c r="F206" i="13" l="1"/>
  <c r="F333" i="7" l="1"/>
  <c r="E335" i="7"/>
  <c r="C335" i="7" l="1"/>
  <c r="D206" i="14" l="1"/>
  <c r="B206" i="14"/>
  <c r="E204" i="14"/>
  <c r="E206" i="14" s="1"/>
  <c r="E202" i="14"/>
  <c r="D202" i="14"/>
  <c r="B202" i="14"/>
  <c r="F209" i="13"/>
  <c r="F212" i="13"/>
  <c r="E206" i="13"/>
  <c r="C206" i="13"/>
  <c r="F272" i="9"/>
  <c r="C279" i="9"/>
  <c r="E279" i="9"/>
  <c r="F269" i="9"/>
  <c r="E267" i="9"/>
  <c r="C267" i="9"/>
  <c r="F266" i="9"/>
  <c r="F267" i="9" s="1"/>
  <c r="E264" i="9"/>
  <c r="C264" i="9"/>
  <c r="F263" i="9"/>
  <c r="F264" i="9" s="1"/>
  <c r="F253" i="8"/>
  <c r="F259" i="8"/>
  <c r="F250" i="8"/>
  <c r="E250" i="8"/>
  <c r="C250" i="8"/>
  <c r="F247" i="8"/>
  <c r="E247" i="8"/>
  <c r="C247" i="8"/>
  <c r="F301" i="7"/>
  <c r="F299" i="7"/>
  <c r="F296" i="7"/>
  <c r="F295" i="7"/>
  <c r="E293" i="7"/>
  <c r="C293" i="7"/>
  <c r="F292" i="7"/>
  <c r="F293" i="7" s="1"/>
  <c r="E288" i="7"/>
  <c r="C288" i="7"/>
  <c r="F288" i="7"/>
  <c r="C392" i="6"/>
  <c r="E392" i="6"/>
  <c r="G340" i="6"/>
  <c r="G348" i="6"/>
  <c r="G350" i="6"/>
  <c r="G351" i="6"/>
  <c r="G354" i="6"/>
  <c r="G356" i="6"/>
  <c r="G338" i="6"/>
  <c r="G335" i="6"/>
  <c r="E335" i="6"/>
  <c r="C335" i="6"/>
  <c r="E332" i="6"/>
  <c r="C332" i="6"/>
  <c r="G332" i="6"/>
  <c r="G358" i="6" l="1"/>
  <c r="F261" i="8"/>
  <c r="F214" i="13"/>
  <c r="F304" i="7"/>
  <c r="F270" i="9"/>
  <c r="F279" i="9" s="1"/>
  <c r="F301" i="9"/>
  <c r="F233" i="13" l="1"/>
  <c r="D222" i="14"/>
  <c r="C234" i="13" l="1"/>
  <c r="G390" i="6" l="1"/>
  <c r="E222" i="14" l="1"/>
  <c r="D226" i="14" l="1"/>
  <c r="B226" i="14"/>
  <c r="E224" i="14"/>
  <c r="E226" i="14" s="1"/>
  <c r="B222" i="14"/>
  <c r="E234" i="13"/>
  <c r="F234" i="13"/>
  <c r="F228" i="13"/>
  <c r="E228" i="13"/>
  <c r="C228" i="13"/>
  <c r="F299" i="9"/>
  <c r="F303" i="9"/>
  <c r="F298" i="9"/>
  <c r="C304" i="9"/>
  <c r="E304" i="9"/>
  <c r="E296" i="9"/>
  <c r="C296" i="9"/>
  <c r="F295" i="9"/>
  <c r="F296" i="9" s="1"/>
  <c r="E293" i="9"/>
  <c r="C293" i="9"/>
  <c r="F292" i="9"/>
  <c r="F293" i="9" s="1"/>
  <c r="F326" i="7"/>
  <c r="F281" i="8"/>
  <c r="F283" i="8"/>
  <c r="F284" i="8"/>
  <c r="F280" i="8"/>
  <c r="C285" i="8"/>
  <c r="E285" i="8"/>
  <c r="F278" i="8"/>
  <c r="E278" i="8"/>
  <c r="C278" i="8"/>
  <c r="E275" i="8"/>
  <c r="C275" i="8"/>
  <c r="F275" i="8"/>
  <c r="F328" i="7"/>
  <c r="F329" i="7"/>
  <c r="F330" i="7"/>
  <c r="F332" i="7"/>
  <c r="F327" i="7"/>
  <c r="E324" i="7"/>
  <c r="C324" i="7"/>
  <c r="F323" i="7"/>
  <c r="F324" i="7" s="1"/>
  <c r="E319" i="7"/>
  <c r="C319" i="7"/>
  <c r="F318" i="7"/>
  <c r="F319" i="7" s="1"/>
  <c r="G381" i="6"/>
  <c r="G383" i="6"/>
  <c r="G384" i="6"/>
  <c r="G385" i="6"/>
  <c r="G387" i="6"/>
  <c r="G388" i="6"/>
  <c r="G389" i="6"/>
  <c r="G376" i="6"/>
  <c r="E376" i="6"/>
  <c r="C376" i="6"/>
  <c r="E373" i="6"/>
  <c r="C373" i="6"/>
  <c r="G372" i="6"/>
  <c r="G373" i="6" s="1"/>
  <c r="F335" i="7" l="1"/>
  <c r="G392" i="6"/>
  <c r="F285" i="8"/>
  <c r="F304" i="9"/>
  <c r="E36" i="12" l="1"/>
  <c r="I36" i="12"/>
  <c r="G7" i="11"/>
  <c r="P36" i="12"/>
  <c r="O36" i="12"/>
  <c r="I7" i="11"/>
  <c r="M7" i="11"/>
  <c r="P7" i="11"/>
  <c r="F8" i="11"/>
  <c r="C7" i="11"/>
  <c r="C8" i="11"/>
  <c r="F7" i="11"/>
  <c r="E7" i="11"/>
  <c r="M8" i="11"/>
  <c r="L8" i="11"/>
  <c r="B7" i="11"/>
  <c r="D7" i="11"/>
  <c r="B8" i="11"/>
  <c r="P8" i="11"/>
  <c r="I8" i="11"/>
  <c r="H7" i="11"/>
  <c r="H8" i="11"/>
  <c r="M36" i="12"/>
  <c r="K36" i="12"/>
  <c r="O8" i="11"/>
  <c r="Q7" i="11"/>
  <c r="Q5" i="11"/>
  <c r="P5" i="11"/>
  <c r="O7" i="11"/>
  <c r="O5" i="11"/>
  <c r="N7" i="11"/>
  <c r="N5" i="11"/>
  <c r="M5" i="11"/>
  <c r="L7" i="11"/>
  <c r="L5" i="11"/>
  <c r="J7" i="11"/>
  <c r="J5" i="11"/>
  <c r="I5" i="11"/>
  <c r="H5" i="11"/>
  <c r="E8" i="11"/>
  <c r="G5" i="11"/>
  <c r="F5" i="11"/>
  <c r="E5" i="11"/>
  <c r="C5" i="11"/>
  <c r="B5" i="11"/>
  <c r="D5" i="11"/>
  <c r="I4" i="11" l="1"/>
  <c r="I6" i="11" s="1"/>
  <c r="O9" i="11"/>
  <c r="J9" i="11"/>
  <c r="Q4" i="11"/>
  <c r="Q6" i="11" s="1"/>
  <c r="P4" i="11"/>
  <c r="P6" i="11" s="1"/>
  <c r="M4" i="11"/>
  <c r="M6" i="11" s="1"/>
  <c r="N4" i="11"/>
  <c r="N6" i="11" s="1"/>
  <c r="L4" i="11"/>
  <c r="L6" i="11" s="1"/>
  <c r="M9" i="11"/>
  <c r="H4" i="11"/>
  <c r="H6" i="11" s="1"/>
  <c r="J4" i="11"/>
  <c r="J6" i="11" s="1"/>
  <c r="H9" i="11"/>
  <c r="E9" i="11"/>
  <c r="B9" i="11"/>
  <c r="G9" i="11" l="1"/>
  <c r="I9" i="11"/>
  <c r="J8" i="11"/>
  <c r="P9" i="11"/>
  <c r="C9" i="11"/>
  <c r="O4" i="11"/>
  <c r="O6" i="11" s="1"/>
  <c r="Q9" i="11"/>
  <c r="Q8" i="11"/>
  <c r="D4" i="11"/>
  <c r="D6" i="11" s="1"/>
  <c r="L9" i="11"/>
  <c r="N8" i="11"/>
  <c r="N9" i="11"/>
  <c r="G4" i="11"/>
  <c r="G6" i="11" s="1"/>
  <c r="E4" i="11"/>
  <c r="E6" i="11" s="1"/>
  <c r="G8" i="11"/>
  <c r="B4" i="11"/>
  <c r="B6" i="11" s="1"/>
  <c r="D8" i="11"/>
  <c r="C4" i="11"/>
  <c r="C6" i="11" s="1"/>
  <c r="D9" i="11"/>
  <c r="B287" i="9" l="1"/>
  <c r="B289" i="9" s="1"/>
  <c r="B257" i="9" s="1"/>
  <c r="B258" i="9" s="1"/>
  <c r="B260" i="9" s="1"/>
  <c r="D269" i="8"/>
  <c r="D271" i="8" s="1"/>
  <c r="B269" i="8"/>
  <c r="B271" i="8" s="1"/>
  <c r="F4" i="11"/>
  <c r="F6" i="11" s="1"/>
  <c r="F9" i="11"/>
  <c r="B232" i="9" l="1"/>
  <c r="B233" i="9" s="1"/>
  <c r="B235" i="9" s="1"/>
  <c r="B205" i="9" s="1"/>
  <c r="B240" i="8"/>
  <c r="B241" i="8" s="1"/>
  <c r="B243" i="8" s="1"/>
  <c r="B267" i="8"/>
  <c r="B270" i="8" s="1"/>
  <c r="B238" i="8" s="1"/>
  <c r="D240" i="8"/>
  <c r="D241" i="8" s="1"/>
  <c r="D243" i="8" s="1"/>
  <c r="D285" i="9"/>
  <c r="B222" i="13"/>
  <c r="B224" i="13" s="1"/>
  <c r="B199" i="13" s="1"/>
  <c r="B200" i="13" s="1"/>
  <c r="B202" i="13" s="1"/>
  <c r="C269" i="8"/>
  <c r="C271" i="8" s="1"/>
  <c r="C220" i="13"/>
  <c r="C223" i="13" s="1"/>
  <c r="B215" i="14"/>
  <c r="B217" i="14" s="1"/>
  <c r="B194" i="14" s="1"/>
  <c r="B206" i="9" l="1"/>
  <c r="B209" i="9" s="1"/>
  <c r="B167" i="13"/>
  <c r="B168" i="13" s="1"/>
  <c r="B170" i="13" s="1"/>
  <c r="B149" i="13" s="1"/>
  <c r="B150" i="13" s="1"/>
  <c r="D217" i="8"/>
  <c r="D218" i="8" s="1"/>
  <c r="B217" i="8"/>
  <c r="B218" i="8" s="1"/>
  <c r="B239" i="8"/>
  <c r="B242" i="8" s="1"/>
  <c r="B215" i="8" s="1"/>
  <c r="D255" i="9"/>
  <c r="C267" i="8"/>
  <c r="C270" i="8" s="1"/>
  <c r="C238" i="8" s="1"/>
  <c r="C240" i="8"/>
  <c r="C241" i="8" s="1"/>
  <c r="C243" i="8" s="1"/>
  <c r="C285" i="9"/>
  <c r="C288" i="9" s="1"/>
  <c r="C255" i="9" s="1"/>
  <c r="B285" i="9"/>
  <c r="B288" i="9" s="1"/>
  <c r="B255" i="9" s="1"/>
  <c r="D313" i="7"/>
  <c r="C287" i="9"/>
  <c r="C289" i="9" s="1"/>
  <c r="C257" i="9" s="1"/>
  <c r="C258" i="9" s="1"/>
  <c r="C260" i="9" s="1"/>
  <c r="C215" i="14"/>
  <c r="C217" i="14" s="1"/>
  <c r="C194" i="14" s="1"/>
  <c r="B182" i="9" l="1"/>
  <c r="B184" i="9" s="1"/>
  <c r="B179" i="9"/>
  <c r="B180" i="9" s="1"/>
  <c r="B183" i="9" s="1"/>
  <c r="B150" i="9" s="1"/>
  <c r="B151" i="9" s="1"/>
  <c r="B154" i="9" s="1"/>
  <c r="B152" i="13"/>
  <c r="B129" i="13" s="1"/>
  <c r="B220" i="8"/>
  <c r="B188" i="8" s="1"/>
  <c r="D220" i="8"/>
  <c r="D188" i="8" s="1"/>
  <c r="B216" i="8"/>
  <c r="B219" i="8" s="1"/>
  <c r="C232" i="9"/>
  <c r="C233" i="9" s="1"/>
  <c r="C235" i="9" s="1"/>
  <c r="B256" i="9"/>
  <c r="B259" i="9" s="1"/>
  <c r="B230" i="9" s="1"/>
  <c r="C217" i="8"/>
  <c r="C218" i="8" s="1"/>
  <c r="C239" i="8"/>
  <c r="C242" i="8" s="1"/>
  <c r="C215" i="8" s="1"/>
  <c r="D256" i="9"/>
  <c r="D259" i="9" s="1"/>
  <c r="D230" i="9" s="1"/>
  <c r="C256" i="9"/>
  <c r="C259" i="9" s="1"/>
  <c r="C230" i="9" s="1"/>
  <c r="C213" i="14"/>
  <c r="C216" i="14" s="1"/>
  <c r="C192" i="14" s="1"/>
  <c r="C193" i="14" s="1"/>
  <c r="C195" i="14"/>
  <c r="C197" i="14" s="1"/>
  <c r="C173" i="14" s="1"/>
  <c r="B213" i="14"/>
  <c r="B216" i="14" s="1"/>
  <c r="B192" i="14" s="1"/>
  <c r="B193" i="14" s="1"/>
  <c r="B195" i="14"/>
  <c r="B197" i="14" s="1"/>
  <c r="B173" i="14" s="1"/>
  <c r="C311" i="7"/>
  <c r="C314" i="7" s="1"/>
  <c r="B313" i="7"/>
  <c r="D315" i="7"/>
  <c r="D287" i="9"/>
  <c r="D289" i="9" s="1"/>
  <c r="D257" i="9" s="1"/>
  <c r="D267" i="8"/>
  <c r="D270" i="8" s="1"/>
  <c r="D238" i="8" s="1"/>
  <c r="D311" i="7"/>
  <c r="D314" i="7" s="1"/>
  <c r="D279" i="7" s="1"/>
  <c r="C222" i="13"/>
  <c r="C224" i="13" s="1"/>
  <c r="C313" i="7"/>
  <c r="B367" i="6"/>
  <c r="B369" i="6" s="1"/>
  <c r="B127" i="9" l="1"/>
  <c r="B128" i="9" s="1"/>
  <c r="B130" i="9" s="1"/>
  <c r="B101" i="9" s="1"/>
  <c r="B102" i="9" s="1"/>
  <c r="B104" i="9" s="1"/>
  <c r="B125" i="9"/>
  <c r="B126" i="9" s="1"/>
  <c r="B129" i="9" s="1"/>
  <c r="B99" i="9" s="1"/>
  <c r="B189" i="8"/>
  <c r="B186" i="8"/>
  <c r="C207" i="9"/>
  <c r="C208" i="9" s="1"/>
  <c r="C210" i="9" s="1"/>
  <c r="C205" i="9"/>
  <c r="C220" i="8"/>
  <c r="C188" i="8" s="1"/>
  <c r="C231" i="9"/>
  <c r="C234" i="9" s="1"/>
  <c r="B231" i="9"/>
  <c r="B234" i="9" s="1"/>
  <c r="D231" i="9"/>
  <c r="D234" i="9" s="1"/>
  <c r="C216" i="8"/>
  <c r="C219" i="8" s="1"/>
  <c r="B196" i="14"/>
  <c r="B171" i="14" s="1"/>
  <c r="B174" i="14"/>
  <c r="B150" i="14" s="1"/>
  <c r="C196" i="14"/>
  <c r="C171" i="14" s="1"/>
  <c r="C174" i="14"/>
  <c r="C199" i="13"/>
  <c r="C200" i="13" s="1"/>
  <c r="C197" i="13"/>
  <c r="C279" i="7"/>
  <c r="D280" i="7"/>
  <c r="D283" i="7" s="1"/>
  <c r="D246" i="7" s="1"/>
  <c r="D281" i="7"/>
  <c r="D239" i="8"/>
  <c r="D242" i="8" s="1"/>
  <c r="D215" i="8" s="1"/>
  <c r="D258" i="9"/>
  <c r="D260" i="9" s="1"/>
  <c r="B311" i="7"/>
  <c r="B314" i="7" s="1"/>
  <c r="C315" i="7"/>
  <c r="C281" i="7" s="1"/>
  <c r="C282" i="7" s="1"/>
  <c r="C284" i="7" s="1"/>
  <c r="B315" i="7"/>
  <c r="B281" i="7" s="1"/>
  <c r="B365" i="6"/>
  <c r="B368" i="6" s="1"/>
  <c r="B323" i="6" s="1"/>
  <c r="B325" i="6"/>
  <c r="D365" i="6"/>
  <c r="D368" i="6" s="1"/>
  <c r="D323" i="6" s="1"/>
  <c r="C367" i="6"/>
  <c r="C369" i="6" s="1"/>
  <c r="D367" i="6"/>
  <c r="D369" i="6" s="1"/>
  <c r="B220" i="13"/>
  <c r="B223" i="13" s="1"/>
  <c r="B197" i="13" s="1"/>
  <c r="S9" i="12" l="1"/>
  <c r="B69" i="9"/>
  <c r="B70" i="9" s="1"/>
  <c r="B72" i="9" s="1"/>
  <c r="B36" i="9" s="1"/>
  <c r="B37" i="9" s="1"/>
  <c r="B40" i="9" s="1"/>
  <c r="B100" i="9"/>
  <c r="B103" i="9" s="1"/>
  <c r="B67" i="9" s="1"/>
  <c r="B68" i="9" s="1"/>
  <c r="B71" i="9" s="1"/>
  <c r="S4" i="12"/>
  <c r="S6" i="12" s="1"/>
  <c r="C176" i="14"/>
  <c r="C150" i="14"/>
  <c r="B151" i="14"/>
  <c r="B154" i="14" s="1"/>
  <c r="B129" i="14" s="1"/>
  <c r="C181" i="9"/>
  <c r="C182" i="9" s="1"/>
  <c r="C184" i="9" s="1"/>
  <c r="C152" i="9" s="1"/>
  <c r="C153" i="9" s="1"/>
  <c r="C155" i="9" s="1"/>
  <c r="C127" i="9" s="1"/>
  <c r="B187" i="8"/>
  <c r="B190" i="8" s="1"/>
  <c r="B161" i="8" s="1"/>
  <c r="B191" i="8"/>
  <c r="B163" i="8" s="1"/>
  <c r="B164" i="8" s="1"/>
  <c r="C206" i="9"/>
  <c r="C209" i="9" s="1"/>
  <c r="C179" i="9" s="1"/>
  <c r="C189" i="8"/>
  <c r="C186" i="8"/>
  <c r="C172" i="14"/>
  <c r="C175" i="14" s="1"/>
  <c r="C152" i="14" s="1"/>
  <c r="C153" i="14" s="1"/>
  <c r="C155" i="14" s="1"/>
  <c r="C131" i="14" s="1"/>
  <c r="B172" i="14"/>
  <c r="B175" i="14" s="1"/>
  <c r="B152" i="14" s="1"/>
  <c r="B153" i="14" s="1"/>
  <c r="B155" i="14" s="1"/>
  <c r="B131" i="14" s="1"/>
  <c r="B132" i="14" s="1"/>
  <c r="B134" i="14" s="1"/>
  <c r="Z9" i="12" s="1"/>
  <c r="B176" i="14"/>
  <c r="D247" i="7"/>
  <c r="D216" i="8"/>
  <c r="D219" i="8" s="1"/>
  <c r="C198" i="13"/>
  <c r="C201" i="13" s="1"/>
  <c r="C165" i="13" s="1"/>
  <c r="D232" i="9"/>
  <c r="C248" i="7"/>
  <c r="C280" i="7"/>
  <c r="C283" i="7" s="1"/>
  <c r="C246" i="7" s="1"/>
  <c r="B282" i="7"/>
  <c r="B284" i="7" s="1"/>
  <c r="B279" i="7"/>
  <c r="B326" i="6"/>
  <c r="B324" i="6"/>
  <c r="B327" i="6" s="1"/>
  <c r="B282" i="6" s="1"/>
  <c r="D324" i="6"/>
  <c r="D282" i="7"/>
  <c r="D284" i="7" s="1"/>
  <c r="B198" i="13"/>
  <c r="B201" i="13" s="1"/>
  <c r="B165" i="13" s="1"/>
  <c r="D325" i="6"/>
  <c r="C325" i="6"/>
  <c r="C365" i="6"/>
  <c r="C368" i="6" s="1"/>
  <c r="C323" i="6" s="1"/>
  <c r="C128" i="9" l="1"/>
  <c r="C130" i="9" s="1"/>
  <c r="C101" i="9" s="1"/>
  <c r="C102" i="9" s="1"/>
  <c r="C104" i="9" s="1"/>
  <c r="B166" i="8"/>
  <c r="B162" i="8"/>
  <c r="B165" i="8" s="1"/>
  <c r="C180" i="9"/>
  <c r="C183" i="9" s="1"/>
  <c r="Z6" i="12"/>
  <c r="B130" i="14"/>
  <c r="B133" i="14" s="1"/>
  <c r="C151" i="14"/>
  <c r="C154" i="14" s="1"/>
  <c r="C129" i="14" s="1"/>
  <c r="C130" i="14" s="1"/>
  <c r="C133" i="14" s="1"/>
  <c r="C132" i="14"/>
  <c r="C134" i="14" s="1"/>
  <c r="AA6" i="12"/>
  <c r="C191" i="8"/>
  <c r="C163" i="8" s="1"/>
  <c r="C164" i="8" s="1"/>
  <c r="D189" i="8"/>
  <c r="D186" i="8"/>
  <c r="C187" i="8"/>
  <c r="C190" i="8" s="1"/>
  <c r="C161" i="8" s="1"/>
  <c r="C166" i="13"/>
  <c r="C169" i="13" s="1"/>
  <c r="C147" i="13" s="1"/>
  <c r="B166" i="13"/>
  <c r="B169" i="13" s="1"/>
  <c r="B147" i="13" s="1"/>
  <c r="D250" i="7"/>
  <c r="D214" i="7"/>
  <c r="C249" i="7"/>
  <c r="C251" i="7" s="1"/>
  <c r="C216" i="7"/>
  <c r="C217" i="7" s="1"/>
  <c r="B283" i="6"/>
  <c r="B286" i="6" s="1"/>
  <c r="C247" i="7"/>
  <c r="D233" i="9"/>
  <c r="D235" i="9" s="1"/>
  <c r="D248" i="7"/>
  <c r="D216" i="7" s="1"/>
  <c r="D217" i="7" s="1"/>
  <c r="D219" i="7" s="1"/>
  <c r="D187" i="7" s="1"/>
  <c r="B248" i="7"/>
  <c r="B280" i="7"/>
  <c r="B283" i="7" s="1"/>
  <c r="B246" i="7" s="1"/>
  <c r="C326" i="6"/>
  <c r="B328" i="6"/>
  <c r="C324" i="6"/>
  <c r="C327" i="6" s="1"/>
  <c r="C282" i="6" s="1"/>
  <c r="D326" i="6"/>
  <c r="C202" i="13"/>
  <c r="T9" i="12" l="1"/>
  <c r="C69" i="9"/>
  <c r="C70" i="9" s="1"/>
  <c r="C72" i="9" s="1"/>
  <c r="C36" i="9" s="1"/>
  <c r="C37" i="9" s="1"/>
  <c r="C40" i="9" s="1"/>
  <c r="C150" i="9"/>
  <c r="C151" i="9" s="1"/>
  <c r="C154" i="9" s="1"/>
  <c r="C125" i="9" s="1"/>
  <c r="C126" i="9" s="1"/>
  <c r="C129" i="9" s="1"/>
  <c r="C99" i="9" s="1"/>
  <c r="B136" i="8"/>
  <c r="B137" i="8" s="1"/>
  <c r="B139" i="8" s="1"/>
  <c r="B134" i="8"/>
  <c r="C166" i="8"/>
  <c r="C136" i="8" s="1"/>
  <c r="C162" i="8"/>
  <c r="C165" i="8" s="1"/>
  <c r="B148" i="13"/>
  <c r="B151" i="13" s="1"/>
  <c r="D187" i="8"/>
  <c r="D190" i="8" s="1"/>
  <c r="D161" i="8" s="1"/>
  <c r="D191" i="8"/>
  <c r="D163" i="8" s="1"/>
  <c r="C219" i="7"/>
  <c r="C187" i="7" s="1"/>
  <c r="D215" i="7"/>
  <c r="D207" i="9"/>
  <c r="D208" i="9" s="1"/>
  <c r="D205" i="9"/>
  <c r="C148" i="13"/>
  <c r="C151" i="13" s="1"/>
  <c r="C250" i="7"/>
  <c r="C214" i="7"/>
  <c r="B249" i="7"/>
  <c r="B251" i="7" s="1"/>
  <c r="B216" i="7"/>
  <c r="B217" i="7" s="1"/>
  <c r="C167" i="13"/>
  <c r="C168" i="13" s="1"/>
  <c r="C170" i="13" s="1"/>
  <c r="C149" i="13" s="1"/>
  <c r="B247" i="7"/>
  <c r="C283" i="6"/>
  <c r="C286" i="6" s="1"/>
  <c r="D249" i="7"/>
  <c r="D251" i="7" s="1"/>
  <c r="B284" i="6"/>
  <c r="C328" i="6"/>
  <c r="C100" i="9" l="1"/>
  <c r="C103" i="9" s="1"/>
  <c r="C67" i="9" s="1"/>
  <c r="C68" i="9" s="1"/>
  <c r="C71" i="9" s="1"/>
  <c r="T4" i="12"/>
  <c r="T6" i="12" s="1"/>
  <c r="C127" i="13"/>
  <c r="B130" i="13"/>
  <c r="B132" i="13" s="1"/>
  <c r="B108" i="13" s="1"/>
  <c r="B109" i="13" s="1"/>
  <c r="B111" i="13" s="1"/>
  <c r="B127" i="13"/>
  <c r="B128" i="13" s="1"/>
  <c r="B131" i="13" s="1"/>
  <c r="B106" i="13" s="1"/>
  <c r="B135" i="8"/>
  <c r="B138" i="8" s="1"/>
  <c r="C137" i="8"/>
  <c r="C139" i="8" s="1"/>
  <c r="C134" i="8"/>
  <c r="D162" i="8"/>
  <c r="D165" i="8" s="1"/>
  <c r="D164" i="8"/>
  <c r="D210" i="9"/>
  <c r="D181" i="9" s="1"/>
  <c r="D182" i="9" s="1"/>
  <c r="D184" i="9" s="1"/>
  <c r="D152" i="9" s="1"/>
  <c r="D153" i="9" s="1"/>
  <c r="D155" i="9" s="1"/>
  <c r="D127" i="9" s="1"/>
  <c r="D218" i="7"/>
  <c r="D185" i="7" s="1"/>
  <c r="D188" i="7"/>
  <c r="D190" i="7" s="1"/>
  <c r="D155" i="7" s="1"/>
  <c r="D156" i="7" s="1"/>
  <c r="D158" i="7" s="1"/>
  <c r="B219" i="7"/>
  <c r="B187" i="7" s="1"/>
  <c r="C215" i="7"/>
  <c r="D206" i="9"/>
  <c r="D209" i="9" s="1"/>
  <c r="D179" i="9" s="1"/>
  <c r="D180" i="9" s="1"/>
  <c r="D183" i="9" s="1"/>
  <c r="C150" i="13"/>
  <c r="B250" i="7"/>
  <c r="B214" i="7" s="1"/>
  <c r="B285" i="6"/>
  <c r="B250" i="6"/>
  <c r="C284" i="6"/>
  <c r="D327" i="6"/>
  <c r="D328" i="6"/>
  <c r="D284" i="6" s="1"/>
  <c r="D150" i="9" l="1"/>
  <c r="D151" i="9" s="1"/>
  <c r="D154" i="9" s="1"/>
  <c r="D125" i="9" s="1"/>
  <c r="D126" i="9" s="1"/>
  <c r="D129" i="9" s="1"/>
  <c r="D99" i="9" s="1"/>
  <c r="D4" i="12"/>
  <c r="D6" i="12" s="1"/>
  <c r="D128" i="9"/>
  <c r="D130" i="9" s="1"/>
  <c r="D101" i="9" s="1"/>
  <c r="D133" i="7"/>
  <c r="D134" i="7" s="1"/>
  <c r="D136" i="7" s="1"/>
  <c r="D108" i="7" s="1"/>
  <c r="D109" i="7" s="1"/>
  <c r="C113" i="8"/>
  <c r="C114" i="8" s="1"/>
  <c r="C116" i="8" s="1"/>
  <c r="C90" i="8" s="1"/>
  <c r="B111" i="8"/>
  <c r="B113" i="8"/>
  <c r="B114" i="8" s="1"/>
  <c r="B116" i="8" s="1"/>
  <c r="B107" i="13"/>
  <c r="B110" i="13" s="1"/>
  <c r="D134" i="8"/>
  <c r="C135" i="8"/>
  <c r="C138" i="8" s="1"/>
  <c r="C111" i="8" s="1"/>
  <c r="D166" i="8"/>
  <c r="D136" i="8" s="1"/>
  <c r="D137" i="8" s="1"/>
  <c r="D139" i="8" s="1"/>
  <c r="D186" i="7"/>
  <c r="D189" i="7" s="1"/>
  <c r="D153" i="7" s="1"/>
  <c r="C152" i="13"/>
  <c r="C129" i="13" s="1"/>
  <c r="C130" i="13" s="1"/>
  <c r="C132" i="13" s="1"/>
  <c r="C108" i="13" s="1"/>
  <c r="C109" i="13" s="1"/>
  <c r="C111" i="13" s="1"/>
  <c r="C128" i="13"/>
  <c r="C131" i="13" s="1"/>
  <c r="C218" i="7"/>
  <c r="C185" i="7" s="1"/>
  <c r="C188" i="7"/>
  <c r="C190" i="7" s="1"/>
  <c r="C155" i="7" s="1"/>
  <c r="C156" i="7" s="1"/>
  <c r="B215" i="7"/>
  <c r="B251" i="6"/>
  <c r="B254" i="6" s="1"/>
  <c r="D282" i="6"/>
  <c r="D283" i="6" s="1"/>
  <c r="D286" i="6" s="1"/>
  <c r="D250" i="6" s="1"/>
  <c r="C285" i="6"/>
  <c r="C252" i="6" s="1"/>
  <c r="C250" i="6"/>
  <c r="D285" i="6"/>
  <c r="D287" i="6" s="1"/>
  <c r="D252" i="6" s="1"/>
  <c r="B287" i="6"/>
  <c r="B252" i="6" s="1"/>
  <c r="B253" i="6" s="1"/>
  <c r="C91" i="8" l="1"/>
  <c r="U4" i="12"/>
  <c r="U6" i="12" s="1"/>
  <c r="D100" i="9"/>
  <c r="D103" i="9" s="1"/>
  <c r="D67" i="9" s="1"/>
  <c r="D68" i="9" s="1"/>
  <c r="D71" i="9" s="1"/>
  <c r="D36" i="9" s="1"/>
  <c r="D37" i="9" s="1"/>
  <c r="D40" i="9" s="1"/>
  <c r="D5" i="9" s="1"/>
  <c r="D6" i="9" s="1"/>
  <c r="D9" i="9" s="1"/>
  <c r="D102" i="9"/>
  <c r="D104" i="9" s="1"/>
  <c r="U8" i="12"/>
  <c r="D111" i="7"/>
  <c r="B112" i="8"/>
  <c r="B115" i="8" s="1"/>
  <c r="C112" i="8"/>
  <c r="C115" i="8" s="1"/>
  <c r="C88" i="8" s="1"/>
  <c r="C158" i="7"/>
  <c r="C133" i="7" s="1"/>
  <c r="C134" i="7" s="1"/>
  <c r="C136" i="7" s="1"/>
  <c r="C108" i="7" s="1"/>
  <c r="C109" i="7" s="1"/>
  <c r="C111" i="7" s="1"/>
  <c r="D113" i="8"/>
  <c r="D114" i="8" s="1"/>
  <c r="D116" i="8" s="1"/>
  <c r="D90" i="8" s="1"/>
  <c r="C87" i="13"/>
  <c r="C88" i="13" s="1"/>
  <c r="C90" i="13" s="1"/>
  <c r="B87" i="13"/>
  <c r="B88" i="13" s="1"/>
  <c r="B90" i="13" s="1"/>
  <c r="W9" i="12" s="1"/>
  <c r="B85" i="13"/>
  <c r="D135" i="8"/>
  <c r="D138" i="8" s="1"/>
  <c r="D111" i="8" s="1"/>
  <c r="D154" i="7"/>
  <c r="D157" i="7" s="1"/>
  <c r="D131" i="7" s="1"/>
  <c r="C106" i="13"/>
  <c r="B215" i="6"/>
  <c r="B217" i="6"/>
  <c r="B218" i="6" s="1"/>
  <c r="C186" i="7"/>
  <c r="C189" i="7" s="1"/>
  <c r="C153" i="7" s="1"/>
  <c r="B218" i="7"/>
  <c r="B185" i="7" s="1"/>
  <c r="B186" i="7" s="1"/>
  <c r="B189" i="7" s="1"/>
  <c r="B153" i="7" s="1"/>
  <c r="B188" i="7"/>
  <c r="B190" i="7" s="1"/>
  <c r="B155" i="7" s="1"/>
  <c r="B156" i="7" s="1"/>
  <c r="B158" i="7" s="1"/>
  <c r="B255" i="6"/>
  <c r="C251" i="6"/>
  <c r="C254" i="6" s="1"/>
  <c r="D251" i="6"/>
  <c r="D254" i="6" s="1"/>
  <c r="D215" i="6" s="1"/>
  <c r="D253" i="6"/>
  <c r="C287" i="6"/>
  <c r="C253" i="6"/>
  <c r="U9" i="12" l="1"/>
  <c r="D69" i="9"/>
  <c r="D70" i="9" s="1"/>
  <c r="D72" i="9" s="1"/>
  <c r="D38" i="9" s="1"/>
  <c r="D39" i="9" s="1"/>
  <c r="D41" i="9" s="1"/>
  <c r="D7" i="9" s="1"/>
  <c r="D8" i="9" s="1"/>
  <c r="D10" i="9" s="1"/>
  <c r="X9" i="12"/>
  <c r="C66" i="13"/>
  <c r="C93" i="8"/>
  <c r="C89" i="8"/>
  <c r="C92" i="8" s="1"/>
  <c r="C60" i="8" s="1"/>
  <c r="C61" i="8" s="1"/>
  <c r="C64" i="8" s="1"/>
  <c r="C32" i="8" s="1"/>
  <c r="C33" i="8" s="1"/>
  <c r="C36" i="8" s="1"/>
  <c r="C4" i="8" s="1"/>
  <c r="C5" i="8" s="1"/>
  <c r="C8" i="8" s="1"/>
  <c r="P4" i="12"/>
  <c r="P6" i="12" s="1"/>
  <c r="B90" i="8"/>
  <c r="B88" i="8"/>
  <c r="L9" i="12"/>
  <c r="D75" i="7"/>
  <c r="D76" i="7" s="1"/>
  <c r="D78" i="7" s="1"/>
  <c r="D41" i="7" s="1"/>
  <c r="D42" i="7" s="1"/>
  <c r="D44" i="7" s="1"/>
  <c r="D7" i="7" s="1"/>
  <c r="D8" i="7" s="1"/>
  <c r="D10" i="7" s="1"/>
  <c r="K9" i="12"/>
  <c r="C75" i="7"/>
  <c r="C76" i="7" s="1"/>
  <c r="C78" i="7" s="1"/>
  <c r="C41" i="7" s="1"/>
  <c r="C42" i="7" s="1"/>
  <c r="C44" i="7" s="1"/>
  <c r="C7" i="7" s="1"/>
  <c r="C8" i="7" s="1"/>
  <c r="C10" i="7" s="1"/>
  <c r="D91" i="8"/>
  <c r="D132" i="7"/>
  <c r="D135" i="7" s="1"/>
  <c r="D106" i="7" s="1"/>
  <c r="B86" i="13"/>
  <c r="B89" i="13" s="1"/>
  <c r="W4" i="12"/>
  <c r="W6" i="12" s="1"/>
  <c r="D112" i="8"/>
  <c r="D115" i="8" s="1"/>
  <c r="D88" i="8" s="1"/>
  <c r="B154" i="7"/>
  <c r="B157" i="7" s="1"/>
  <c r="C154" i="7"/>
  <c r="C157" i="7" s="1"/>
  <c r="C131" i="7" s="1"/>
  <c r="C107" i="13"/>
  <c r="C110" i="13" s="1"/>
  <c r="C85" i="13" s="1"/>
  <c r="B220" i="6"/>
  <c r="C215" i="6"/>
  <c r="C216" i="6" s="1"/>
  <c r="C219" i="6" s="1"/>
  <c r="C178" i="6" s="1"/>
  <c r="C179" i="6" s="1"/>
  <c r="C182" i="6" s="1"/>
  <c r="B216" i="6"/>
  <c r="B219" i="6" s="1"/>
  <c r="D216" i="6"/>
  <c r="D219" i="6" s="1"/>
  <c r="D178" i="6" s="1"/>
  <c r="D179" i="6" s="1"/>
  <c r="D182" i="6" s="1"/>
  <c r="D143" i="6" s="1"/>
  <c r="C255" i="6"/>
  <c r="C217" i="6" s="1"/>
  <c r="C218" i="6" s="1"/>
  <c r="D255" i="6"/>
  <c r="D217" i="6" s="1"/>
  <c r="D218" i="6" s="1"/>
  <c r="B9" i="12" l="1"/>
  <c r="P9" i="12"/>
  <c r="C62" i="8"/>
  <c r="C63" i="8" s="1"/>
  <c r="C65" i="8" s="1"/>
  <c r="C34" i="8" s="1"/>
  <c r="C35" i="8" s="1"/>
  <c r="C37" i="8" s="1"/>
  <c r="C6" i="8" s="1"/>
  <c r="C7" i="8" s="1"/>
  <c r="C9" i="8" s="1"/>
  <c r="B4" i="12"/>
  <c r="B6" i="12" s="1"/>
  <c r="C67" i="13"/>
  <c r="B66" i="13"/>
  <c r="B64" i="13"/>
  <c r="B65" i="13" s="1"/>
  <c r="B68" i="13" s="1"/>
  <c r="B44" i="13" s="1"/>
  <c r="B91" i="8"/>
  <c r="B93" i="8" s="1"/>
  <c r="D93" i="8"/>
  <c r="D62" i="8" s="1"/>
  <c r="B89" i="8"/>
  <c r="B92" i="8" s="1"/>
  <c r="O4" i="12"/>
  <c r="O6" i="12" s="1"/>
  <c r="D89" i="8"/>
  <c r="D92" i="8" s="1"/>
  <c r="Q4" i="12"/>
  <c r="Q6" i="12" s="1"/>
  <c r="Q8" i="12"/>
  <c r="D107" i="7"/>
  <c r="D110" i="7" s="1"/>
  <c r="D73" i="7" s="1"/>
  <c r="D74" i="7" s="1"/>
  <c r="D77" i="7" s="1"/>
  <c r="D39" i="7" s="1"/>
  <c r="D40" i="7" s="1"/>
  <c r="D43" i="7" s="1"/>
  <c r="D5" i="7" s="1"/>
  <c r="D6" i="7" s="1"/>
  <c r="D9" i="7" s="1"/>
  <c r="L4" i="12"/>
  <c r="L6" i="12" s="1"/>
  <c r="L8" i="12"/>
  <c r="C132" i="7"/>
  <c r="C135" i="7" s="1"/>
  <c r="C106" i="7" s="1"/>
  <c r="C86" i="13"/>
  <c r="C89" i="13" s="1"/>
  <c r="C64" i="13" s="1"/>
  <c r="C65" i="13" s="1"/>
  <c r="C68" i="13" s="1"/>
  <c r="X4" i="12"/>
  <c r="X6" i="12" s="1"/>
  <c r="X8" i="12"/>
  <c r="D144" i="6"/>
  <c r="D147" i="6" s="1"/>
  <c r="C145" i="6"/>
  <c r="C146" i="6" s="1"/>
  <c r="C148" i="6" s="1"/>
  <c r="C143" i="6"/>
  <c r="B131" i="7"/>
  <c r="B133" i="7"/>
  <c r="B178" i="6"/>
  <c r="B179" i="6" s="1"/>
  <c r="B182" i="6" s="1"/>
  <c r="B180" i="6"/>
  <c r="B181" i="6" s="1"/>
  <c r="B183" i="6" s="1"/>
  <c r="C220" i="6"/>
  <c r="D220" i="6"/>
  <c r="C44" i="13" l="1"/>
  <c r="C45" i="13" s="1"/>
  <c r="D60" i="8"/>
  <c r="D61" i="8" s="1"/>
  <c r="D9" i="12"/>
  <c r="Q9" i="12"/>
  <c r="D63" i="8"/>
  <c r="D65" i="8" s="1"/>
  <c r="D34" i="8" s="1"/>
  <c r="D35" i="8" s="1"/>
  <c r="D37" i="8" s="1"/>
  <c r="D6" i="8" s="1"/>
  <c r="D7" i="8" s="1"/>
  <c r="D9" i="8" s="1"/>
  <c r="O9" i="12"/>
  <c r="B62" i="8"/>
  <c r="B63" i="8" s="1"/>
  <c r="B65" i="8" s="1"/>
  <c r="B60" i="8"/>
  <c r="B61" i="8" s="1"/>
  <c r="B64" i="8" s="1"/>
  <c r="B67" i="13"/>
  <c r="B69" i="13" s="1"/>
  <c r="B46" i="13" s="1"/>
  <c r="B45" i="13"/>
  <c r="C69" i="13"/>
  <c r="C46" i="13" s="1"/>
  <c r="C111" i="6"/>
  <c r="C112" i="6" s="1"/>
  <c r="C114" i="6" s="1"/>
  <c r="C107" i="7"/>
  <c r="C110" i="7" s="1"/>
  <c r="K5" i="12"/>
  <c r="K4" i="12"/>
  <c r="B132" i="7"/>
  <c r="B135" i="7" s="1"/>
  <c r="C144" i="6"/>
  <c r="C147" i="6" s="1"/>
  <c r="C109" i="6" s="1"/>
  <c r="B143" i="6"/>
  <c r="B145" i="6"/>
  <c r="B146" i="6" s="1"/>
  <c r="B148" i="6" s="1"/>
  <c r="D180" i="6"/>
  <c r="D181" i="6" s="1"/>
  <c r="D183" i="6" s="1"/>
  <c r="D145" i="6" s="1"/>
  <c r="C180" i="6"/>
  <c r="C181" i="6" s="1"/>
  <c r="C183" i="6" s="1"/>
  <c r="C24" i="13" l="1"/>
  <c r="C25" i="13" s="1"/>
  <c r="C48" i="13"/>
  <c r="C4" i="13"/>
  <c r="C5" i="13" s="1"/>
  <c r="C8" i="13" s="1"/>
  <c r="C28" i="13"/>
  <c r="C47" i="13"/>
  <c r="C49" i="13" s="1"/>
  <c r="C26" i="13"/>
  <c r="B48" i="13"/>
  <c r="B24" i="13" s="1"/>
  <c r="B25" i="13" s="1"/>
  <c r="B28" i="13" s="1"/>
  <c r="B4" i="13" s="1"/>
  <c r="B5" i="13" s="1"/>
  <c r="B8" i="13" s="1"/>
  <c r="B47" i="13"/>
  <c r="B49" i="13" s="1"/>
  <c r="B26" i="13"/>
  <c r="D64" i="8"/>
  <c r="D32" i="8" s="1"/>
  <c r="D33" i="8" s="1"/>
  <c r="D36" i="8" s="1"/>
  <c r="B34" i="8"/>
  <c r="B35" i="8" s="1"/>
  <c r="B37" i="8" s="1"/>
  <c r="B32" i="8"/>
  <c r="B33" i="8" s="1"/>
  <c r="B36" i="8" s="1"/>
  <c r="C73" i="7"/>
  <c r="C74" i="7" s="1"/>
  <c r="C77" i="7" s="1"/>
  <c r="C39" i="7" s="1"/>
  <c r="C40" i="7" s="1"/>
  <c r="C43" i="7" s="1"/>
  <c r="C5" i="7" s="1"/>
  <c r="C6" i="7" s="1"/>
  <c r="C9" i="7" s="1"/>
  <c r="H9" i="12"/>
  <c r="H8" i="12"/>
  <c r="H4" i="12"/>
  <c r="H6" i="12" s="1"/>
  <c r="G9" i="12"/>
  <c r="K6" i="12"/>
  <c r="B134" i="7"/>
  <c r="B136" i="7" s="1"/>
  <c r="B108" i="7"/>
  <c r="B106" i="7"/>
  <c r="B111" i="6"/>
  <c r="B112" i="6" s="1"/>
  <c r="B114" i="6" s="1"/>
  <c r="B109" i="6"/>
  <c r="G4" i="12"/>
  <c r="G6" i="12" s="1"/>
  <c r="C110" i="6"/>
  <c r="C113" i="6" s="1"/>
  <c r="C76" i="6" s="1"/>
  <c r="C77" i="6" s="1"/>
  <c r="C80" i="6" s="1"/>
  <c r="D146" i="6"/>
  <c r="D148" i="6" s="1"/>
  <c r="B144" i="6"/>
  <c r="B147" i="6" s="1"/>
  <c r="D4" i="8" l="1"/>
  <c r="D5" i="8" s="1"/>
  <c r="D8" i="8" s="1"/>
  <c r="B27" i="13"/>
  <c r="B29" i="13" s="1"/>
  <c r="B6" i="13"/>
  <c r="B7" i="13" s="1"/>
  <c r="B9" i="13" s="1"/>
  <c r="C27" i="13"/>
  <c r="C29" i="13" s="1"/>
  <c r="C6" i="13"/>
  <c r="C7" i="13" s="1"/>
  <c r="C9" i="13" s="1"/>
  <c r="B4" i="8"/>
  <c r="B5" i="8" s="1"/>
  <c r="B8" i="8" s="1"/>
  <c r="B6" i="8"/>
  <c r="B7" i="8" s="1"/>
  <c r="B9" i="8" s="1"/>
  <c r="C40" i="6"/>
  <c r="C78" i="6"/>
  <c r="C79" i="6" s="1"/>
  <c r="C81" i="6" s="1"/>
  <c r="F9" i="12"/>
  <c r="B78" i="6"/>
  <c r="B79" i="6" s="1"/>
  <c r="B81" i="6" s="1"/>
  <c r="B107" i="7"/>
  <c r="J4" i="12"/>
  <c r="J6" i="12" s="1"/>
  <c r="C4" i="12"/>
  <c r="C6" i="12" s="1"/>
  <c r="D109" i="6"/>
  <c r="D111" i="6"/>
  <c r="D112" i="6" s="1"/>
  <c r="D114" i="6" s="1"/>
  <c r="B110" i="6"/>
  <c r="B113" i="6" s="1"/>
  <c r="B76" i="6" s="1"/>
  <c r="B77" i="6" s="1"/>
  <c r="B80" i="6" s="1"/>
  <c r="F4" i="12"/>
  <c r="F6" i="12" s="1"/>
  <c r="B40" i="6" l="1"/>
  <c r="B41" i="6" s="1"/>
  <c r="B44" i="6" s="1"/>
  <c r="B42" i="6"/>
  <c r="B43" i="6" s="1"/>
  <c r="B45" i="6" s="1"/>
  <c r="C41" i="6"/>
  <c r="C44" i="6" s="1"/>
  <c r="C42" i="6"/>
  <c r="C43" i="6" s="1"/>
  <c r="C45" i="6" s="1"/>
  <c r="D78" i="6"/>
  <c r="D79" i="6" s="1"/>
  <c r="D81" i="6" s="1"/>
  <c r="D42" i="6" s="1"/>
  <c r="D43" i="6" s="1"/>
  <c r="D45" i="6" s="1"/>
  <c r="D6" i="6" s="1"/>
  <c r="D7" i="6" s="1"/>
  <c r="D76" i="6"/>
  <c r="D77" i="6" s="1"/>
  <c r="D80" i="6" s="1"/>
  <c r="D40" i="6" s="1"/>
  <c r="D41" i="6" s="1"/>
  <c r="D44" i="6" s="1"/>
  <c r="D4" i="6" s="1"/>
  <c r="D5" i="6" s="1"/>
  <c r="I9" i="12"/>
  <c r="B110" i="7"/>
  <c r="B73" i="7" s="1"/>
  <c r="B109" i="7"/>
  <c r="B111" i="7" s="1"/>
  <c r="J9" i="12" s="1"/>
  <c r="D110" i="6"/>
  <c r="D113" i="6" s="1"/>
  <c r="I6" i="12"/>
  <c r="I8" i="12"/>
  <c r="C5" i="6" l="1"/>
  <c r="C8" i="6" s="1"/>
  <c r="C7" i="6"/>
  <c r="C9" i="6" s="1"/>
  <c r="B6" i="6"/>
  <c r="B7" i="6" s="1"/>
  <c r="B9" i="6" s="1"/>
  <c r="B4" i="6"/>
  <c r="B5" i="6" s="1"/>
  <c r="B8" i="6" s="1"/>
  <c r="B75" i="7"/>
  <c r="B74" i="7"/>
  <c r="B77" i="7" l="1"/>
  <c r="B39" i="7" s="1"/>
  <c r="B40" i="7" s="1"/>
  <c r="B76" i="7"/>
  <c r="B78" i="7" s="1"/>
  <c r="B41" i="7" s="1"/>
  <c r="B42" i="7" l="1"/>
  <c r="B44" i="7" s="1"/>
  <c r="B7" i="7" s="1"/>
  <c r="B43" i="7"/>
  <c r="B5" i="7" s="1"/>
  <c r="B6" i="7" s="1"/>
  <c r="B8" i="7" l="1"/>
  <c r="B10" i="7" s="1"/>
  <c r="B9" i="7"/>
  <c r="C9" i="12"/>
  <c r="L45" i="17"/>
  <c r="L7" i="17" s="1"/>
  <c r="L8" i="17" s="1"/>
  <c r="L10" i="17" s="1"/>
  <c r="L44" i="17"/>
  <c r="L6" i="17" s="1"/>
  <c r="L9" i="17" s="1"/>
  <c r="E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5" authorId="0" shapeId="0" xr:uid="{0FC011A3-94F0-4D51-A671-330AC2452031}">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 authorId="0" shapeId="0" xr:uid="{BCCF593C-D679-4D44-85B8-0330D4DB1466}">
      <text>
        <r>
          <rPr>
            <b/>
            <sz val="8"/>
            <color indexed="81"/>
            <rFont val="Tahoma"/>
            <family val="2"/>
          </rPr>
          <t>Mary Wiencke:</t>
        </r>
        <r>
          <rPr>
            <sz val="8"/>
            <color indexed="81"/>
            <rFont val="Tahoma"/>
            <family val="2"/>
          </rPr>
          <t xml:space="preserve">
Initial allocation plus unpaid rolled from previous year.
</t>
        </r>
      </text>
    </comment>
    <comment ref="A7" authorId="0" shapeId="0" xr:uid="{E3E1593C-5BCC-409D-9DA3-D2EE07627245}">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8" authorId="0" shapeId="0" xr:uid="{51B5DDE1-0F60-4695-B3FD-30A8C4FAB707}">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9" authorId="0" shapeId="0" xr:uid="{58496489-6E5B-4610-9BB4-ECFF85874E83}">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0" authorId="0" shapeId="0" xr:uid="{D5B8137E-1FD7-4D11-AD4B-D3B7CD536C47}">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42" authorId="0" shapeId="0" xr:uid="{5B8C2963-9CFF-43AC-8E98-69C1B8B20A44}">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43" authorId="0" shapeId="0" xr:uid="{D67ACF1A-A40E-499C-B9E5-0F668F9C8263}">
      <text>
        <r>
          <rPr>
            <b/>
            <sz val="8"/>
            <color indexed="81"/>
            <rFont val="Tahoma"/>
            <family val="2"/>
          </rPr>
          <t>Mary Wiencke:</t>
        </r>
        <r>
          <rPr>
            <sz val="8"/>
            <color indexed="81"/>
            <rFont val="Tahoma"/>
            <family val="2"/>
          </rPr>
          <t xml:space="preserve">
Initial allocation plus unpaid rolled from previous year.
</t>
        </r>
      </text>
    </comment>
    <comment ref="A44" authorId="0" shapeId="0" xr:uid="{F1C6D895-D450-485B-9C9B-D23D73DCA61B}">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45" authorId="0" shapeId="0" xr:uid="{26985AF7-793D-4485-8320-7759050139E4}">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6" authorId="0" shapeId="0" xr:uid="{33F37A0E-6AA0-4F7A-B6FD-8E31418520C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7" authorId="0" shapeId="0" xr:uid="{B70D3B3C-A546-4E46-9A8A-27722FF1C927}">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72" authorId="0" shapeId="0" xr:uid="{5E882E64-F2CE-41CD-A4E6-5F82BE44318E}">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73" authorId="0" shapeId="0" xr:uid="{2559642B-1BB9-4B3B-95D6-E5BFDFC81504}">
      <text>
        <r>
          <rPr>
            <b/>
            <sz val="8"/>
            <color indexed="81"/>
            <rFont val="Tahoma"/>
            <family val="2"/>
          </rPr>
          <t>Mary Wiencke:</t>
        </r>
        <r>
          <rPr>
            <sz val="8"/>
            <color indexed="81"/>
            <rFont val="Tahoma"/>
            <family val="2"/>
          </rPr>
          <t xml:space="preserve">
Initial allocation plus unpaid rolled from previous year.
</t>
        </r>
      </text>
    </comment>
    <comment ref="A74" authorId="0" shapeId="0" xr:uid="{CB08A7FE-B257-402C-88B0-61570B4E3475}">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5" authorId="0" shapeId="0" xr:uid="{55EEF805-171E-41BD-9C7A-7C56E8BEDACA}">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76" authorId="0" shapeId="0" xr:uid="{36C11329-5BF5-41E6-A723-36C69FA064B2}">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77" authorId="0" shapeId="0" xr:uid="{49B51727-6909-4C46-B371-4B939CA6191F}">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03" authorId="0" shapeId="0" xr:uid="{C1EF1F88-562B-4EF6-974A-7E6A3502A9AC}">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04" authorId="0" shapeId="0" xr:uid="{2604BCB2-A5EE-4D72-ACD2-E6F26A49EF79}">
      <text>
        <r>
          <rPr>
            <b/>
            <sz val="8"/>
            <color indexed="81"/>
            <rFont val="Tahoma"/>
            <family val="2"/>
          </rPr>
          <t>Mary Wiencke:</t>
        </r>
        <r>
          <rPr>
            <sz val="8"/>
            <color indexed="81"/>
            <rFont val="Tahoma"/>
            <family val="2"/>
          </rPr>
          <t xml:space="preserve">
Initial allocation plus unpaid rolled from previous year.
</t>
        </r>
      </text>
    </comment>
    <comment ref="A105" authorId="0" shapeId="0" xr:uid="{9D8DB6B7-C727-4FD5-80CD-9D55FC5D9161}">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06" authorId="0" shapeId="0" xr:uid="{C0A8E268-7EAA-43F3-8AC6-61F9566899C3}">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07" authorId="0" shapeId="0" xr:uid="{BF2CFAAD-F14D-4CE0-995A-0D0F122B5D9A}">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08" authorId="0" shapeId="0" xr:uid="{18518E9F-F982-4567-9591-1FBB6DD7F9BD}">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30" authorId="0" shapeId="0" xr:uid="{D8EBA1FC-E620-4C3B-B108-5E2A5595A1A9}">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31" authorId="0" shapeId="0" xr:uid="{3161CBC6-776C-4902-B49C-1E7E6D06162A}">
      <text>
        <r>
          <rPr>
            <b/>
            <sz val="8"/>
            <color indexed="81"/>
            <rFont val="Tahoma"/>
            <family val="2"/>
          </rPr>
          <t>Mary Wiencke:</t>
        </r>
        <r>
          <rPr>
            <sz val="8"/>
            <color indexed="81"/>
            <rFont val="Tahoma"/>
            <family val="2"/>
          </rPr>
          <t xml:space="preserve">
Initial allocation plus unpaid rolled from previous year.
</t>
        </r>
      </text>
    </comment>
    <comment ref="A132" authorId="0" shapeId="0" xr:uid="{0A967543-416F-42BA-BC41-4754E8AA6EF5}">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33" authorId="0" shapeId="0" xr:uid="{9960F173-82C1-48E9-B267-34314A999066}">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34" authorId="0" shapeId="0" xr:uid="{E9934C2F-768A-45FD-9A3D-92917856C6B8}">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35" authorId="0" shapeId="0" xr:uid="{831DCD30-9065-452A-A24E-0833743D2C1B}">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59" authorId="0" shapeId="0" xr:uid="{9E383FB8-BA41-4686-B945-2FF2F11C499D}">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60" authorId="0" shapeId="0" xr:uid="{53A73415-2CFD-457F-83EF-2C167A1C61AE}">
      <text>
        <r>
          <rPr>
            <b/>
            <sz val="8"/>
            <color indexed="81"/>
            <rFont val="Tahoma"/>
            <family val="2"/>
          </rPr>
          <t>Mary Wiencke:</t>
        </r>
        <r>
          <rPr>
            <sz val="8"/>
            <color indexed="81"/>
            <rFont val="Tahoma"/>
            <family val="2"/>
          </rPr>
          <t xml:space="preserve">
Initial allocation plus unpaid rolled from previous year.
</t>
        </r>
      </text>
    </comment>
    <comment ref="A161" authorId="0" shapeId="0" xr:uid="{7592A7B7-D6E5-4ED6-9F1D-BC70A65951C8}">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62" authorId="0" shapeId="0" xr:uid="{D0F43681-D642-47F8-9D1A-D4DE6B0E738B}">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63" authorId="0" shapeId="0" xr:uid="{3D5D5D2C-070C-4242-9C2D-52F5DD0A03B6}">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64" authorId="0" shapeId="0" xr:uid="{97296349-67F6-4C78-B7CD-1B25A0B1A748}">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96" authorId="0" shapeId="0" xr:uid="{6DDB6C02-C160-46A8-A45E-E640C3280B05}">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97" authorId="0" shapeId="0" xr:uid="{1A6106B8-A3AA-4FD4-8D33-F6859D62DCC6}">
      <text>
        <r>
          <rPr>
            <b/>
            <sz val="8"/>
            <color indexed="81"/>
            <rFont val="Tahoma"/>
            <family val="2"/>
          </rPr>
          <t>Mary Wiencke:</t>
        </r>
        <r>
          <rPr>
            <sz val="8"/>
            <color indexed="81"/>
            <rFont val="Tahoma"/>
            <family val="2"/>
          </rPr>
          <t xml:space="preserve">
Initial allocation plus unpaid rolled from previous year.
</t>
        </r>
      </text>
    </comment>
    <comment ref="A198" authorId="0" shapeId="0" xr:uid="{9A7A1E52-872E-4A59-BDAA-7CEFD83E0ABD}">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99" authorId="0" shapeId="0" xr:uid="{AEB65369-CC23-419B-9A4B-F09665E764FD}">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00" authorId="0" shapeId="0" xr:uid="{0E151A29-DD01-410B-9E1D-443CEF3D3BD2}">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01" authorId="0" shapeId="0" xr:uid="{53765526-9F84-4715-8516-4D8C1ADEB10B}">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28" authorId="0" shapeId="0" xr:uid="{7EBCB3F7-06B5-4224-BB51-620F1DB937B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29" authorId="0" shapeId="0" xr:uid="{2363E0BC-C3D5-42EE-AB15-1338BA1D69EE}">
      <text>
        <r>
          <rPr>
            <b/>
            <sz val="8"/>
            <color indexed="81"/>
            <rFont val="Tahoma"/>
            <family val="2"/>
          </rPr>
          <t>Mary Wiencke:</t>
        </r>
        <r>
          <rPr>
            <sz val="8"/>
            <color indexed="81"/>
            <rFont val="Tahoma"/>
            <family val="2"/>
          </rPr>
          <t xml:space="preserve">
Initial allocation plus unpaid rolled from previous year.
</t>
        </r>
      </text>
    </comment>
    <comment ref="A230" authorId="0" shapeId="0" xr:uid="{F55BBE16-0304-4756-B0F0-3054B96AAC91}">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31" authorId="0" shapeId="0" xr:uid="{624BCAF7-8714-4D45-85C6-93AD1D2265A2}">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32" authorId="0" shapeId="0" xr:uid="{B39E924C-D291-45B5-A93C-FA48C12A3B7B}">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33" authorId="0" shapeId="0" xr:uid="{2D20B0AB-DBA1-40B0-89A1-8A20DAA1FC07}">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57" authorId="0" shapeId="0" xr:uid="{2FB0BBCB-3653-4106-BAE2-C4B008619D6E}">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58" authorId="0" shapeId="0" xr:uid="{9259F288-394B-41AB-95E9-C085AD7EB9E2}">
      <text>
        <r>
          <rPr>
            <b/>
            <sz val="8"/>
            <color indexed="81"/>
            <rFont val="Tahoma"/>
            <family val="2"/>
          </rPr>
          <t>Mary Wiencke:</t>
        </r>
        <r>
          <rPr>
            <sz val="8"/>
            <color indexed="81"/>
            <rFont val="Tahoma"/>
            <family val="2"/>
          </rPr>
          <t xml:space="preserve">
Initial allocation plus unpaid rolled from previous year.
</t>
        </r>
      </text>
    </comment>
    <comment ref="A259" authorId="0" shapeId="0" xr:uid="{3A4992C2-D41F-4603-97ED-7F43D0093A67}">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60" authorId="0" shapeId="0" xr:uid="{387020CA-FF0A-45C4-8A56-8BFAFFC0B0E1}">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61" authorId="0" shapeId="0" xr:uid="{610D247A-E21A-474D-B293-376E485C2B94}">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62" authorId="0" shapeId="0" xr:uid="{889C295C-4321-4ED8-A3DB-EF09F33D43CD}">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88" authorId="0" shapeId="0" xr:uid="{CDF5F31C-5200-4A52-9E1C-4AEFE16A535D}">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89" authorId="0" shapeId="0" xr:uid="{1D32BF05-4694-423E-8F45-8261B9993DD8}">
      <text>
        <r>
          <rPr>
            <b/>
            <sz val="8"/>
            <color indexed="81"/>
            <rFont val="Tahoma"/>
            <family val="2"/>
          </rPr>
          <t>Mary Wiencke:</t>
        </r>
        <r>
          <rPr>
            <sz val="8"/>
            <color indexed="81"/>
            <rFont val="Tahoma"/>
            <family val="2"/>
          </rPr>
          <t xml:space="preserve">
Initial allocation plus unpaid rolled from previous year.
</t>
        </r>
      </text>
    </comment>
    <comment ref="A290" authorId="0" shapeId="0" xr:uid="{44A70B10-0109-41C1-960A-ACD220C877EB}">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91" authorId="0" shapeId="0" xr:uid="{5FAEE7CD-AB5C-4FD8-97C8-A26CAF1987FB}">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92" authorId="0" shapeId="0" xr:uid="{6494CDD4-FF02-4F78-BFC5-DC2A62EE2DC9}">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93" authorId="0" shapeId="0" xr:uid="{B05F0778-B553-49DC-9C59-8B07C7EFC6A7}">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28" authorId="0" shapeId="0" xr:uid="{C5433692-2152-46B1-A981-44CDAB212272}">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329" authorId="0" shapeId="0" xr:uid="{38C7D70A-1421-401B-8AF1-BFBA846794D1}">
      <text>
        <r>
          <rPr>
            <b/>
            <sz val="8"/>
            <color indexed="81"/>
            <rFont val="Tahoma"/>
            <family val="2"/>
          </rPr>
          <t>Mary Wiencke:</t>
        </r>
        <r>
          <rPr>
            <sz val="8"/>
            <color indexed="81"/>
            <rFont val="Tahoma"/>
            <family val="2"/>
          </rPr>
          <t xml:space="preserve">
Initial allocation plus unpaid rolled from previous year.
</t>
        </r>
      </text>
    </comment>
    <comment ref="A330" authorId="0" shapeId="0" xr:uid="{8ADB1A24-37D8-4834-823B-6577B2393F9C}">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331" authorId="0" shapeId="0" xr:uid="{4E9D4D79-2E99-446E-BBAD-EF93B4C77FD4}">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332" authorId="0" shapeId="0" xr:uid="{552CDF0F-6FCE-40BD-ADEF-249786B2DD3F}">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333" authorId="0" shapeId="0" xr:uid="{FC57DE23-A5D9-4554-B145-448F1B172FB3}">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4" authorId="0" shapeId="0" xr:uid="{00000000-0006-0000-0B00-000001000000}">
      <text>
        <r>
          <rPr>
            <b/>
            <sz val="8"/>
            <color indexed="81"/>
            <rFont val="Tahoma"/>
            <family val="2"/>
          </rPr>
          <t xml:space="preserve">Mary Wiencke:  Amount initially allocated to each fund each year.
</t>
        </r>
        <r>
          <rPr>
            <sz val="8"/>
            <color indexed="81"/>
            <rFont val="Tahoma"/>
            <family val="2"/>
          </rPr>
          <t xml:space="preserve">
</t>
        </r>
      </text>
    </comment>
    <comment ref="A5" authorId="0" shapeId="0" xr:uid="{00000000-0006-0000-0B00-000002000000}">
      <text>
        <r>
          <rPr>
            <b/>
            <sz val="8"/>
            <color indexed="81"/>
            <rFont val="Tahoma"/>
            <family val="2"/>
          </rPr>
          <t>Mary Wiencke:</t>
        </r>
        <r>
          <rPr>
            <sz val="8"/>
            <color indexed="81"/>
            <rFont val="Tahoma"/>
            <family val="2"/>
          </rPr>
          <t xml:space="preserve">
Initial allocation plus unpaid rolled from previous year.
</t>
        </r>
      </text>
    </comment>
    <comment ref="A6" authorId="0" shapeId="0" xr:uid="{00000000-0006-0000-0B00-00000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7" authorId="0" shapeId="0" xr:uid="{00000000-0006-0000-0B00-000004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3" authorId="0" shapeId="0" xr:uid="{93EB50A5-0A49-4877-864B-C77F5FD6BBD7}">
      <text>
        <r>
          <rPr>
            <b/>
            <sz val="8"/>
            <color indexed="81"/>
            <rFont val="Tahoma"/>
            <family val="2"/>
          </rPr>
          <t xml:space="preserve">Mary Wiencke:  Amount initially allocated to each fund each year.
</t>
        </r>
        <r>
          <rPr>
            <sz val="8"/>
            <color indexed="81"/>
            <rFont val="Tahoma"/>
            <family val="2"/>
          </rPr>
          <t xml:space="preserve">
</t>
        </r>
      </text>
    </comment>
    <comment ref="A4" authorId="0" shapeId="0" xr:uid="{E59BB9D5-A999-4FE9-9B41-D4A96BE53B6B}">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5" authorId="0" shapeId="0" xr:uid="{B61BDCB3-5BD3-476C-921B-4E4F9CF3C82C}">
      <text>
        <r>
          <rPr>
            <b/>
            <sz val="8"/>
            <color indexed="81"/>
            <rFont val="Tahoma"/>
            <family val="2"/>
          </rPr>
          <t>Mary Wiencke:</t>
        </r>
        <r>
          <rPr>
            <sz val="8"/>
            <color indexed="81"/>
            <rFont val="Tahoma"/>
            <family val="2"/>
          </rPr>
          <t xml:space="preserve">
Initial allocation plus unpaid rolled from previous year.
</t>
        </r>
      </text>
    </comment>
    <comment ref="A6" authorId="0" shapeId="0" xr:uid="{2F97618F-3FBD-45C2-9A72-87083E14C54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 authorId="0" shapeId="0" xr:uid="{7E4BEFB2-A944-4B7D-8359-346F53FD74FF}">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 authorId="0" shapeId="0" xr:uid="{906D27EF-F0B0-4233-8A2F-9B11E4DDAF51}">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 authorId="0" shapeId="0" xr:uid="{3F283D5F-6991-46A7-AA4B-686AFFA54F4B}">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9" authorId="0" shapeId="0" xr:uid="{5687F160-50BB-4059-9A99-E98622E7C99F}">
      <text>
        <r>
          <rPr>
            <b/>
            <sz val="8"/>
            <color indexed="81"/>
            <rFont val="Tahoma"/>
            <family val="2"/>
          </rPr>
          <t xml:space="preserve">Mary Wiencke:  Amount initially allocated to each fund each year.
</t>
        </r>
        <r>
          <rPr>
            <sz val="8"/>
            <color indexed="81"/>
            <rFont val="Tahoma"/>
            <family val="2"/>
          </rPr>
          <t xml:space="preserve">
</t>
        </r>
      </text>
    </comment>
    <comment ref="A40" authorId="0" shapeId="0" xr:uid="{CCEF3ACC-943A-49B6-996B-C488B8DB4C75}">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41" authorId="0" shapeId="0" xr:uid="{16EEF293-CD18-4564-A063-C7CC3C0FAE2C}">
      <text>
        <r>
          <rPr>
            <b/>
            <sz val="8"/>
            <color indexed="81"/>
            <rFont val="Tahoma"/>
            <family val="2"/>
          </rPr>
          <t>Mary Wiencke:</t>
        </r>
        <r>
          <rPr>
            <sz val="8"/>
            <color indexed="81"/>
            <rFont val="Tahoma"/>
            <family val="2"/>
          </rPr>
          <t xml:space="preserve">
Initial allocation plus unpaid rolled from previous year.
</t>
        </r>
      </text>
    </comment>
    <comment ref="A42" authorId="0" shapeId="0" xr:uid="{F393855C-D4FA-491D-B8D1-9FDF4766C018}">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43" authorId="0" shapeId="0" xr:uid="{E6FD6834-A077-4E76-B142-6568158F2112}">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4" authorId="0" shapeId="0" xr:uid="{C2CE9A6C-0C5B-4017-88EA-EEEA578BB2FC}">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5" authorId="0" shapeId="0" xr:uid="{BF598922-E121-4B14-971F-7E84D893F50A}">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75" authorId="0" shapeId="0" xr:uid="{39E44439-57B7-4765-A947-10F8F7AC2EA7}">
      <text>
        <r>
          <rPr>
            <b/>
            <sz val="8"/>
            <color indexed="81"/>
            <rFont val="Tahoma"/>
            <family val="2"/>
          </rPr>
          <t xml:space="preserve">Mary Wiencke:  Amount initially allocated to each fund each year.
</t>
        </r>
        <r>
          <rPr>
            <sz val="8"/>
            <color indexed="81"/>
            <rFont val="Tahoma"/>
            <family val="2"/>
          </rPr>
          <t xml:space="preserve">
</t>
        </r>
      </text>
    </comment>
    <comment ref="A76" authorId="0" shapeId="0" xr:uid="{0DD36B5F-1948-4163-901D-DDFD3C17C34C}">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77" authorId="0" shapeId="0" xr:uid="{A2D19005-C179-481A-A399-C50B07BA7363}">
      <text>
        <r>
          <rPr>
            <b/>
            <sz val="8"/>
            <color indexed="81"/>
            <rFont val="Tahoma"/>
            <family val="2"/>
          </rPr>
          <t>Mary Wiencke:</t>
        </r>
        <r>
          <rPr>
            <sz val="8"/>
            <color indexed="81"/>
            <rFont val="Tahoma"/>
            <family val="2"/>
          </rPr>
          <t xml:space="preserve">
Initial allocation plus unpaid rolled from previous year.
</t>
        </r>
      </text>
    </comment>
    <comment ref="A78" authorId="0" shapeId="0" xr:uid="{62164806-72BA-45BA-9F16-1A34045B364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9" authorId="0" shapeId="0" xr:uid="{216A730C-2755-439D-8502-A5E16A4D251E}">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0" authorId="0" shapeId="0" xr:uid="{E9D9E182-9BA3-47FC-BA9E-1D42BB5DC14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81" authorId="0" shapeId="0" xr:uid="{268E6D83-2B50-48D1-A6FE-9D64FB1B00B4}">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08" authorId="0" shapeId="0" xr:uid="{D224CDC8-5197-4271-BAE9-4479DBDA35B6}">
      <text>
        <r>
          <rPr>
            <b/>
            <sz val="8"/>
            <color indexed="81"/>
            <rFont val="Tahoma"/>
            <family val="2"/>
          </rPr>
          <t xml:space="preserve">Mary Wiencke:  Amount initially allocated to each fund each year.
</t>
        </r>
        <r>
          <rPr>
            <sz val="8"/>
            <color indexed="81"/>
            <rFont val="Tahoma"/>
            <family val="2"/>
          </rPr>
          <t xml:space="preserve">
</t>
        </r>
      </text>
    </comment>
    <comment ref="A109" authorId="0" shapeId="0" xr:uid="{4B2E67E9-B251-4D30-97FE-7EEB80BF79EA}">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10" authorId="0" shapeId="0" xr:uid="{1EEA10D0-8F65-4A03-ADE7-04A682170CA9}">
      <text>
        <r>
          <rPr>
            <b/>
            <sz val="8"/>
            <color indexed="81"/>
            <rFont val="Tahoma"/>
            <family val="2"/>
          </rPr>
          <t>Mary Wiencke:</t>
        </r>
        <r>
          <rPr>
            <sz val="8"/>
            <color indexed="81"/>
            <rFont val="Tahoma"/>
            <family val="2"/>
          </rPr>
          <t xml:space="preserve">
Initial allocation plus unpaid rolled from previous year.
</t>
        </r>
      </text>
    </comment>
    <comment ref="A111" authorId="0" shapeId="0" xr:uid="{3B5264BC-0C68-4ABD-9BAE-A9EFF46B87FD}">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12" authorId="0" shapeId="0" xr:uid="{669F4CD0-ACFF-490B-8050-5FEC677A9063}">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13" authorId="0" shapeId="0" xr:uid="{DE6606CB-1AFF-4E53-B691-620AEBC2FA23}">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14" authorId="0" shapeId="0" xr:uid="{0918193D-0445-488D-85FD-05037112B2ED}">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42" authorId="0" shapeId="0" xr:uid="{00000000-0006-0000-0300-000001000000}">
      <text>
        <r>
          <rPr>
            <b/>
            <sz val="8"/>
            <color indexed="81"/>
            <rFont val="Tahoma"/>
            <family val="2"/>
          </rPr>
          <t xml:space="preserve">Mary Wiencke:  Amount initially allocated to each fund each year.
</t>
        </r>
        <r>
          <rPr>
            <sz val="8"/>
            <color indexed="81"/>
            <rFont val="Tahoma"/>
            <family val="2"/>
          </rPr>
          <t xml:space="preserve">
</t>
        </r>
      </text>
    </comment>
    <comment ref="A143" authorId="0" shapeId="0" xr:uid="{00000000-0006-0000-0300-000002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44" authorId="0" shapeId="0" xr:uid="{00000000-0006-0000-0300-000003000000}">
      <text>
        <r>
          <rPr>
            <b/>
            <sz val="8"/>
            <color indexed="81"/>
            <rFont val="Tahoma"/>
            <family val="2"/>
          </rPr>
          <t>Mary Wiencke:</t>
        </r>
        <r>
          <rPr>
            <sz val="8"/>
            <color indexed="81"/>
            <rFont val="Tahoma"/>
            <family val="2"/>
          </rPr>
          <t xml:space="preserve">
Initial allocation plus unpaid rolled from previous year.
</t>
        </r>
      </text>
    </comment>
    <comment ref="A145" authorId="0" shapeId="0" xr:uid="{00000000-0006-0000-0300-000004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46" authorId="0" shapeId="0" xr:uid="{00000000-0006-0000-0300-000005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47" authorId="0" shapeId="0" xr:uid="{00000000-0006-0000-0300-000006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48" authorId="0" shapeId="0" xr:uid="{00000000-0006-0000-0300-000007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77" authorId="0" shapeId="0" xr:uid="{00000000-0006-0000-0300-000008000000}">
      <text>
        <r>
          <rPr>
            <b/>
            <sz val="8"/>
            <color indexed="81"/>
            <rFont val="Tahoma"/>
            <family val="2"/>
          </rPr>
          <t xml:space="preserve">Mary Wiencke:  Amount initially allocated to each fund each year.
</t>
        </r>
        <r>
          <rPr>
            <sz val="8"/>
            <color indexed="81"/>
            <rFont val="Tahoma"/>
            <family val="2"/>
          </rPr>
          <t xml:space="preserve">
</t>
        </r>
      </text>
    </comment>
    <comment ref="A178" authorId="0" shapeId="0" xr:uid="{00000000-0006-0000-0300-000009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79" authorId="0" shapeId="0" xr:uid="{00000000-0006-0000-0300-00000A000000}">
      <text>
        <r>
          <rPr>
            <b/>
            <sz val="8"/>
            <color indexed="81"/>
            <rFont val="Tahoma"/>
            <family val="2"/>
          </rPr>
          <t>Mary Wiencke:</t>
        </r>
        <r>
          <rPr>
            <sz val="8"/>
            <color indexed="81"/>
            <rFont val="Tahoma"/>
            <family val="2"/>
          </rPr>
          <t xml:space="preserve">
Initial allocation plus unpaid rolled from previous year.
</t>
        </r>
      </text>
    </comment>
    <comment ref="A180" authorId="0" shapeId="0" xr:uid="{00000000-0006-0000-0300-00000B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81" authorId="0" shapeId="0" xr:uid="{00000000-0006-0000-0300-00000C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82" authorId="0" shapeId="0" xr:uid="{00000000-0006-0000-0300-00000D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83" authorId="0" shapeId="0" xr:uid="{00000000-0006-0000-0300-00000E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14" authorId="0" shapeId="0" xr:uid="{00000000-0006-0000-0300-00000F000000}">
      <text>
        <r>
          <rPr>
            <b/>
            <sz val="8"/>
            <color indexed="81"/>
            <rFont val="Tahoma"/>
            <family val="2"/>
          </rPr>
          <t xml:space="preserve">Mary Wiencke:  Amount initially allocated to each fund each year.
</t>
        </r>
        <r>
          <rPr>
            <sz val="8"/>
            <color indexed="81"/>
            <rFont val="Tahoma"/>
            <family val="2"/>
          </rPr>
          <t xml:space="preserve">
</t>
        </r>
      </text>
    </comment>
    <comment ref="A215" authorId="0" shapeId="0" xr:uid="{00000000-0006-0000-0300-000010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16" authorId="0" shapeId="0" xr:uid="{00000000-0006-0000-0300-000011000000}">
      <text>
        <r>
          <rPr>
            <b/>
            <sz val="8"/>
            <color indexed="81"/>
            <rFont val="Tahoma"/>
            <family val="2"/>
          </rPr>
          <t>Mary Wiencke:</t>
        </r>
        <r>
          <rPr>
            <sz val="8"/>
            <color indexed="81"/>
            <rFont val="Tahoma"/>
            <family val="2"/>
          </rPr>
          <t xml:space="preserve">
Initial allocation plus unpaid rolled from previous year.
</t>
        </r>
      </text>
    </comment>
    <comment ref="A217" authorId="0" shapeId="0" xr:uid="{00000000-0006-0000-0300-000012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18" authorId="0" shapeId="0" xr:uid="{00000000-0006-0000-0300-00001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19" authorId="0" shapeId="0" xr:uid="{00000000-0006-0000-0300-000014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20" authorId="0" shapeId="0" xr:uid="{00000000-0006-0000-0300-000015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49" authorId="0" shapeId="0" xr:uid="{00000000-0006-0000-0300-000016000000}">
      <text>
        <r>
          <rPr>
            <b/>
            <sz val="8"/>
            <color indexed="81"/>
            <rFont val="Tahoma"/>
            <family val="2"/>
          </rPr>
          <t xml:space="preserve">Mary Wiencke:  Amount initially allocated to each fund each year.
</t>
        </r>
        <r>
          <rPr>
            <sz val="8"/>
            <color indexed="81"/>
            <rFont val="Tahoma"/>
            <family val="2"/>
          </rPr>
          <t xml:space="preserve">
</t>
        </r>
      </text>
    </comment>
    <comment ref="A250" authorId="0" shapeId="0" xr:uid="{00000000-0006-0000-0300-000017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51" authorId="0" shapeId="0" xr:uid="{00000000-0006-0000-0300-000018000000}">
      <text>
        <r>
          <rPr>
            <b/>
            <sz val="8"/>
            <color indexed="81"/>
            <rFont val="Tahoma"/>
            <family val="2"/>
          </rPr>
          <t>Mary Wiencke:</t>
        </r>
        <r>
          <rPr>
            <sz val="8"/>
            <color indexed="81"/>
            <rFont val="Tahoma"/>
            <family val="2"/>
          </rPr>
          <t xml:space="preserve">
Initial allocation plus unpaid rolled from previous year.
</t>
        </r>
      </text>
    </comment>
    <comment ref="A252" authorId="0" shapeId="0" xr:uid="{00000000-0006-0000-0300-000019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53" authorId="0" shapeId="0" xr:uid="{00000000-0006-0000-0300-00001A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54" authorId="0" shapeId="0" xr:uid="{00000000-0006-0000-0300-00001B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55" authorId="0" shapeId="0" xr:uid="{00000000-0006-0000-0300-00001C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81" authorId="0" shapeId="0" xr:uid="{00000000-0006-0000-0300-00001D000000}">
      <text>
        <r>
          <rPr>
            <b/>
            <sz val="8"/>
            <color indexed="81"/>
            <rFont val="Tahoma"/>
            <family val="2"/>
          </rPr>
          <t xml:space="preserve">Mary Wiencke:  Amount initially allocated to each fund each year.
</t>
        </r>
        <r>
          <rPr>
            <sz val="8"/>
            <color indexed="81"/>
            <rFont val="Tahoma"/>
            <family val="2"/>
          </rPr>
          <t xml:space="preserve">
</t>
        </r>
      </text>
    </comment>
    <comment ref="A282" authorId="0" shapeId="0" xr:uid="{00000000-0006-0000-0300-00001E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83" authorId="0" shapeId="0" xr:uid="{00000000-0006-0000-0300-00001F000000}">
      <text>
        <r>
          <rPr>
            <b/>
            <sz val="8"/>
            <color indexed="81"/>
            <rFont val="Tahoma"/>
            <family val="2"/>
          </rPr>
          <t>Mary Wiencke:</t>
        </r>
        <r>
          <rPr>
            <sz val="8"/>
            <color indexed="81"/>
            <rFont val="Tahoma"/>
            <family val="2"/>
          </rPr>
          <t xml:space="preserve">
Initial allocation plus unpaid rolled from previous year.
</t>
        </r>
      </text>
    </comment>
    <comment ref="A284" authorId="0" shapeId="0" xr:uid="{00000000-0006-0000-0300-000020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85" authorId="0" shapeId="0" xr:uid="{00000000-0006-0000-0300-000021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86" authorId="0" shapeId="0" xr:uid="{00000000-0006-0000-0300-000022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87" authorId="0" shapeId="0" xr:uid="{00000000-0006-0000-0300-000023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22" authorId="0" shapeId="0" xr:uid="{00000000-0006-0000-0300-000024000000}">
      <text>
        <r>
          <rPr>
            <b/>
            <sz val="8"/>
            <color indexed="81"/>
            <rFont val="Tahoma"/>
            <family val="2"/>
          </rPr>
          <t xml:space="preserve">Mary Wiencke:  Amount initially allocated to each fund each year.
</t>
        </r>
        <r>
          <rPr>
            <sz val="8"/>
            <color indexed="81"/>
            <rFont val="Tahoma"/>
            <family val="2"/>
          </rPr>
          <t xml:space="preserve">
</t>
        </r>
      </text>
    </comment>
    <comment ref="A323" authorId="0" shapeId="0" xr:uid="{00000000-0006-0000-0300-000025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324" authorId="0" shapeId="0" xr:uid="{00000000-0006-0000-0300-000026000000}">
      <text>
        <r>
          <rPr>
            <b/>
            <sz val="8"/>
            <color indexed="81"/>
            <rFont val="Tahoma"/>
            <family val="2"/>
          </rPr>
          <t>Mary Wiencke:</t>
        </r>
        <r>
          <rPr>
            <sz val="8"/>
            <color indexed="81"/>
            <rFont val="Tahoma"/>
            <family val="2"/>
          </rPr>
          <t xml:space="preserve">
Initial allocation plus unpaid rolled from previous year.
</t>
        </r>
      </text>
    </comment>
    <comment ref="A325" authorId="0" shapeId="0" xr:uid="{00000000-0006-0000-0300-000027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326" authorId="0" shapeId="0" xr:uid="{00000000-0006-0000-0300-000028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327" authorId="0" shapeId="0" xr:uid="{00000000-0006-0000-0300-000029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328" authorId="0" shapeId="0" xr:uid="{00000000-0006-0000-0300-00002A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63" authorId="0" shapeId="0" xr:uid="{00000000-0006-0000-0300-00002B000000}">
      <text>
        <r>
          <rPr>
            <b/>
            <sz val="8"/>
            <color indexed="81"/>
            <rFont val="Tahoma"/>
            <family val="2"/>
          </rPr>
          <t xml:space="preserve">Mary Wiencke:  Amount initially allocated to each fund each year.
</t>
        </r>
        <r>
          <rPr>
            <sz val="8"/>
            <color indexed="81"/>
            <rFont val="Tahoma"/>
            <family val="2"/>
          </rPr>
          <t xml:space="preserve">
</t>
        </r>
      </text>
    </comment>
    <comment ref="A364" authorId="0" shapeId="0" xr:uid="{00000000-0006-0000-0300-00002C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365" authorId="0" shapeId="0" xr:uid="{00000000-0006-0000-0300-00002D000000}">
      <text>
        <r>
          <rPr>
            <b/>
            <sz val="8"/>
            <color indexed="81"/>
            <rFont val="Tahoma"/>
            <family val="2"/>
          </rPr>
          <t>Mary Wiencke:</t>
        </r>
        <r>
          <rPr>
            <sz val="8"/>
            <color indexed="81"/>
            <rFont val="Tahoma"/>
            <family val="2"/>
          </rPr>
          <t xml:space="preserve">
Initial allocation plus unpaid rolled from previous year.
</t>
        </r>
      </text>
    </comment>
    <comment ref="A366" authorId="0" shapeId="0" xr:uid="{00000000-0006-0000-0300-00002E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367" authorId="0" shapeId="0" xr:uid="{00000000-0006-0000-0300-00002F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368" authorId="0" shapeId="0" xr:uid="{00000000-0006-0000-0300-000030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369" authorId="0" shapeId="0" xr:uid="{00000000-0006-0000-0300-000031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4" authorId="0" shapeId="0" xr:uid="{15337AEE-BB62-4650-A797-65F9AF400FB0}">
      <text>
        <r>
          <rPr>
            <b/>
            <sz val="8"/>
            <color indexed="81"/>
            <rFont val="Tahoma"/>
            <family val="2"/>
          </rPr>
          <t xml:space="preserve">Mary Wiencke:  Amount initially allocated to each fund each year.
</t>
        </r>
        <r>
          <rPr>
            <sz val="8"/>
            <color indexed="81"/>
            <rFont val="Tahoma"/>
            <family val="2"/>
          </rPr>
          <t xml:space="preserve">
</t>
        </r>
      </text>
    </comment>
    <comment ref="A5" authorId="0" shapeId="0" xr:uid="{1BB5D030-CFDC-4DBC-8787-44F2CFF9EF9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 authorId="0" shapeId="0" xr:uid="{DE70D53D-7FB0-40C3-BA3A-8F34BD124AF4}">
      <text>
        <r>
          <rPr>
            <b/>
            <sz val="8"/>
            <color indexed="81"/>
            <rFont val="Tahoma"/>
            <family val="2"/>
          </rPr>
          <t>Mary Wiencke:</t>
        </r>
        <r>
          <rPr>
            <sz val="8"/>
            <color indexed="81"/>
            <rFont val="Tahoma"/>
            <family val="2"/>
          </rPr>
          <t xml:space="preserve">
Initial allocation plus unpaid rolled from previous year.
</t>
        </r>
      </text>
    </comment>
    <comment ref="A7" authorId="0" shapeId="0" xr:uid="{859A304B-6CF4-4C68-B849-BBC7EE456137}">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8" authorId="0" shapeId="0" xr:uid="{B0B6D62C-662A-410E-AF97-7DE73CFEEC6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9" authorId="0" shapeId="0" xr:uid="{A93ECF73-F85D-4E9E-A63A-53E4093599E6}">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0" authorId="0" shapeId="0" xr:uid="{42258A4B-6882-41D5-A8DF-088FBA47ABEC}">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8" authorId="0" shapeId="0" xr:uid="{E601414B-4512-45DD-B317-1670F1095604}">
      <text>
        <r>
          <rPr>
            <b/>
            <sz val="8"/>
            <color indexed="81"/>
            <rFont val="Tahoma"/>
            <family val="2"/>
          </rPr>
          <t xml:space="preserve">Mary Wiencke:  Amount initially allocated to each fund each year.
</t>
        </r>
        <r>
          <rPr>
            <sz val="8"/>
            <color indexed="81"/>
            <rFont val="Tahoma"/>
            <family val="2"/>
          </rPr>
          <t xml:space="preserve">
</t>
        </r>
      </text>
    </comment>
    <comment ref="A39" authorId="0" shapeId="0" xr:uid="{381AA3CF-2DF5-479C-AD7F-EA19E93405BC}">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40" authorId="0" shapeId="0" xr:uid="{56A68AAC-9892-4E4A-A758-F0DA31C8A727}">
      <text>
        <r>
          <rPr>
            <b/>
            <sz val="8"/>
            <color indexed="81"/>
            <rFont val="Tahoma"/>
            <family val="2"/>
          </rPr>
          <t>Mary Wiencke:</t>
        </r>
        <r>
          <rPr>
            <sz val="8"/>
            <color indexed="81"/>
            <rFont val="Tahoma"/>
            <family val="2"/>
          </rPr>
          <t xml:space="preserve">
Initial allocation plus unpaid rolled from previous year.
</t>
        </r>
      </text>
    </comment>
    <comment ref="A41" authorId="0" shapeId="0" xr:uid="{524B104A-2B68-483D-9946-9E12C0E9429C}">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42" authorId="0" shapeId="0" xr:uid="{BDB703A5-F048-46F4-ACB9-FC05F56463B3}">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3" authorId="0" shapeId="0" xr:uid="{796D7468-42B4-4330-9E65-36F6C931F4F7}">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4" authorId="0" shapeId="0" xr:uid="{D2D616E5-EF79-47B9-ADB2-370FC6E7372F}">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72" authorId="0" shapeId="0" xr:uid="{C1B73C3C-E5DE-4449-B17D-82B3EDA6D910}">
      <text>
        <r>
          <rPr>
            <b/>
            <sz val="8"/>
            <color indexed="81"/>
            <rFont val="Tahoma"/>
            <family val="2"/>
          </rPr>
          <t xml:space="preserve">Mary Wiencke:  Amount initially allocated to each fund each year.
</t>
        </r>
        <r>
          <rPr>
            <sz val="8"/>
            <color indexed="81"/>
            <rFont val="Tahoma"/>
            <family val="2"/>
          </rPr>
          <t xml:space="preserve">
</t>
        </r>
      </text>
    </comment>
    <comment ref="A73" authorId="0" shapeId="0" xr:uid="{FCAA5191-6917-454A-95C6-B37CCCD63D25}">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74" authorId="0" shapeId="0" xr:uid="{B9E37834-EAE3-4D18-A9B4-7BD3B384FEBC}">
      <text>
        <r>
          <rPr>
            <b/>
            <sz val="8"/>
            <color indexed="81"/>
            <rFont val="Tahoma"/>
            <family val="2"/>
          </rPr>
          <t>Mary Wiencke:</t>
        </r>
        <r>
          <rPr>
            <sz val="8"/>
            <color indexed="81"/>
            <rFont val="Tahoma"/>
            <family val="2"/>
          </rPr>
          <t xml:space="preserve">
Initial allocation plus unpaid rolled from previous year.
</t>
        </r>
      </text>
    </comment>
    <comment ref="A75" authorId="0" shapeId="0" xr:uid="{232B0E5C-480D-4C00-B841-C2B95428C32B}">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6" authorId="0" shapeId="0" xr:uid="{B6BCADEA-291A-4432-AE18-62AD82E5D461}">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77" authorId="0" shapeId="0" xr:uid="{1153B3D0-2FD3-406E-AC82-C653A0F7BBEA}">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78" authorId="0" shapeId="0" xr:uid="{48C6CE84-A4BF-4BA1-842B-BE1EE011CB7E}">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05" authorId="0" shapeId="0" xr:uid="{09800B91-EBA3-4FF5-81CB-EBDD707EE392}">
      <text>
        <r>
          <rPr>
            <b/>
            <sz val="8"/>
            <color indexed="81"/>
            <rFont val="Tahoma"/>
            <family val="2"/>
          </rPr>
          <t xml:space="preserve">Mary Wiencke:  Amount initially allocated to each fund each year.
</t>
        </r>
        <r>
          <rPr>
            <sz val="8"/>
            <color indexed="81"/>
            <rFont val="Tahoma"/>
            <family val="2"/>
          </rPr>
          <t xml:space="preserve">
</t>
        </r>
      </text>
    </comment>
    <comment ref="A106" authorId="0" shapeId="0" xr:uid="{45377596-BD17-4353-B90E-E04E5ADD1519}">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07" authorId="0" shapeId="0" xr:uid="{80C2A05D-E9E0-4D95-9F99-A63C5CEADC4C}">
      <text>
        <r>
          <rPr>
            <b/>
            <sz val="8"/>
            <color indexed="81"/>
            <rFont val="Tahoma"/>
            <family val="2"/>
          </rPr>
          <t>Mary Wiencke:</t>
        </r>
        <r>
          <rPr>
            <sz val="8"/>
            <color indexed="81"/>
            <rFont val="Tahoma"/>
            <family val="2"/>
          </rPr>
          <t xml:space="preserve">
Initial allocation plus unpaid rolled from previous year.
</t>
        </r>
      </text>
    </comment>
    <comment ref="A108" authorId="0" shapeId="0" xr:uid="{9A004B1B-BA05-421C-95AB-F2D43FD5508C}">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09" authorId="0" shapeId="0" xr:uid="{35BF4EDC-9EFA-48FD-89C1-B1C5355694C4}">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10" authorId="0" shapeId="0" xr:uid="{5BC02E15-7F0B-4A7B-B81A-0DD026113DAE}">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11" authorId="0" shapeId="0" xr:uid="{4771872E-D885-4502-8238-1137D2F412CD}">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30" authorId="0" shapeId="0" xr:uid="{00000000-0006-0000-0400-000001000000}">
      <text>
        <r>
          <rPr>
            <b/>
            <sz val="8"/>
            <color indexed="81"/>
            <rFont val="Tahoma"/>
            <family val="2"/>
          </rPr>
          <t xml:space="preserve">Mary Wiencke:  Amount initially allocated to each fund each year.
</t>
        </r>
        <r>
          <rPr>
            <sz val="8"/>
            <color indexed="81"/>
            <rFont val="Tahoma"/>
            <family val="2"/>
          </rPr>
          <t xml:space="preserve">
</t>
        </r>
      </text>
    </comment>
    <comment ref="A131" authorId="0" shapeId="0" xr:uid="{00000000-0006-0000-0400-000002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32" authorId="0" shapeId="0" xr:uid="{00000000-0006-0000-0400-000003000000}">
      <text>
        <r>
          <rPr>
            <b/>
            <sz val="8"/>
            <color indexed="81"/>
            <rFont val="Tahoma"/>
            <family val="2"/>
          </rPr>
          <t>Mary Wiencke:</t>
        </r>
        <r>
          <rPr>
            <sz val="8"/>
            <color indexed="81"/>
            <rFont val="Tahoma"/>
            <family val="2"/>
          </rPr>
          <t xml:space="preserve">
Initial allocation plus unpaid rolled from previous year.
</t>
        </r>
      </text>
    </comment>
    <comment ref="A133" authorId="0" shapeId="0" xr:uid="{00000000-0006-0000-0400-000004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34" authorId="0" shapeId="0" xr:uid="{00000000-0006-0000-0400-000005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35" authorId="0" shapeId="0" xr:uid="{00000000-0006-0000-0400-000006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36" authorId="0" shapeId="0" xr:uid="{00000000-0006-0000-0400-000007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52" authorId="0" shapeId="0" xr:uid="{00000000-0006-0000-0400-000008000000}">
      <text>
        <r>
          <rPr>
            <b/>
            <sz val="8"/>
            <color indexed="81"/>
            <rFont val="Tahoma"/>
            <family val="2"/>
          </rPr>
          <t xml:space="preserve">Mary Wiencke:  Amount initially allocated to each fund each year.
</t>
        </r>
        <r>
          <rPr>
            <sz val="8"/>
            <color indexed="81"/>
            <rFont val="Tahoma"/>
            <family val="2"/>
          </rPr>
          <t xml:space="preserve">
</t>
        </r>
      </text>
    </comment>
    <comment ref="A153" authorId="0" shapeId="0" xr:uid="{00000000-0006-0000-0400-000009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54" authorId="0" shapeId="0" xr:uid="{00000000-0006-0000-0400-00000A000000}">
      <text>
        <r>
          <rPr>
            <b/>
            <sz val="8"/>
            <color indexed="81"/>
            <rFont val="Tahoma"/>
            <family val="2"/>
          </rPr>
          <t>Mary Wiencke:</t>
        </r>
        <r>
          <rPr>
            <sz val="8"/>
            <color indexed="81"/>
            <rFont val="Tahoma"/>
            <family val="2"/>
          </rPr>
          <t xml:space="preserve">
Initial allocation plus unpaid rolled from previous year.
</t>
        </r>
      </text>
    </comment>
    <comment ref="A155" authorId="0" shapeId="0" xr:uid="{00000000-0006-0000-0400-00000B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56" authorId="0" shapeId="0" xr:uid="{00000000-0006-0000-0400-00000C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57" authorId="0" shapeId="0" xr:uid="{00000000-0006-0000-0400-00000D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58" authorId="0" shapeId="0" xr:uid="{00000000-0006-0000-0400-00000E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84" authorId="0" shapeId="0" xr:uid="{00000000-0006-0000-0400-00000F000000}">
      <text>
        <r>
          <rPr>
            <b/>
            <sz val="8"/>
            <color indexed="81"/>
            <rFont val="Tahoma"/>
            <family val="2"/>
          </rPr>
          <t xml:space="preserve">Mary Wiencke:  Amount initially allocated to each fund each year.
</t>
        </r>
        <r>
          <rPr>
            <sz val="8"/>
            <color indexed="81"/>
            <rFont val="Tahoma"/>
            <family val="2"/>
          </rPr>
          <t xml:space="preserve">
</t>
        </r>
      </text>
    </comment>
    <comment ref="A185" authorId="0" shapeId="0" xr:uid="{00000000-0006-0000-0400-000010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86" authorId="0" shapeId="0" xr:uid="{00000000-0006-0000-0400-000011000000}">
      <text>
        <r>
          <rPr>
            <b/>
            <sz val="8"/>
            <color indexed="81"/>
            <rFont val="Tahoma"/>
            <family val="2"/>
          </rPr>
          <t>Mary Wiencke:</t>
        </r>
        <r>
          <rPr>
            <sz val="8"/>
            <color indexed="81"/>
            <rFont val="Tahoma"/>
            <family val="2"/>
          </rPr>
          <t xml:space="preserve">
Initial allocation plus unpaid rolled from previous year.
</t>
        </r>
      </text>
    </comment>
    <comment ref="A187" authorId="0" shapeId="0" xr:uid="{00000000-0006-0000-0400-000012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88" authorId="0" shapeId="0" xr:uid="{00000000-0006-0000-0400-00001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89" authorId="0" shapeId="0" xr:uid="{00000000-0006-0000-0400-000014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90" authorId="0" shapeId="0" xr:uid="{00000000-0006-0000-0400-000015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13" authorId="0" shapeId="0" xr:uid="{00000000-0006-0000-0400-000016000000}">
      <text>
        <r>
          <rPr>
            <b/>
            <sz val="8"/>
            <color indexed="81"/>
            <rFont val="Tahoma"/>
            <family val="2"/>
          </rPr>
          <t xml:space="preserve">Mary Wiencke:  Amount initially allocated to each fund each year.
</t>
        </r>
        <r>
          <rPr>
            <sz val="8"/>
            <color indexed="81"/>
            <rFont val="Tahoma"/>
            <family val="2"/>
          </rPr>
          <t xml:space="preserve">
</t>
        </r>
      </text>
    </comment>
    <comment ref="A214" authorId="0" shapeId="0" xr:uid="{00000000-0006-0000-0400-000017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15" authorId="0" shapeId="0" xr:uid="{00000000-0006-0000-0400-000018000000}">
      <text>
        <r>
          <rPr>
            <b/>
            <sz val="8"/>
            <color indexed="81"/>
            <rFont val="Tahoma"/>
            <family val="2"/>
          </rPr>
          <t>Mary Wiencke:</t>
        </r>
        <r>
          <rPr>
            <sz val="8"/>
            <color indexed="81"/>
            <rFont val="Tahoma"/>
            <family val="2"/>
          </rPr>
          <t xml:space="preserve">
Initial allocation plus unpaid rolled from previous year.
</t>
        </r>
      </text>
    </comment>
    <comment ref="A216" authorId="0" shapeId="0" xr:uid="{00000000-0006-0000-0400-000019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17" authorId="0" shapeId="0" xr:uid="{00000000-0006-0000-0400-00001A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18" authorId="0" shapeId="0" xr:uid="{00000000-0006-0000-0400-00001B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19" authorId="0" shapeId="0" xr:uid="{00000000-0006-0000-0400-00001C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45" authorId="0" shapeId="0" xr:uid="{00000000-0006-0000-0400-00001D000000}">
      <text>
        <r>
          <rPr>
            <b/>
            <sz val="8"/>
            <color indexed="81"/>
            <rFont val="Tahoma"/>
            <family val="2"/>
          </rPr>
          <t xml:space="preserve">Mary Wiencke:  Amount initially allocated to each fund each year.
</t>
        </r>
        <r>
          <rPr>
            <sz val="8"/>
            <color indexed="81"/>
            <rFont val="Tahoma"/>
            <family val="2"/>
          </rPr>
          <t xml:space="preserve">
</t>
        </r>
      </text>
    </comment>
    <comment ref="A246" authorId="0" shapeId="0" xr:uid="{00000000-0006-0000-0400-00001E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47" authorId="0" shapeId="0" xr:uid="{00000000-0006-0000-0400-00001F000000}">
      <text>
        <r>
          <rPr>
            <b/>
            <sz val="8"/>
            <color indexed="81"/>
            <rFont val="Tahoma"/>
            <family val="2"/>
          </rPr>
          <t>Mary Wiencke:</t>
        </r>
        <r>
          <rPr>
            <sz val="8"/>
            <color indexed="81"/>
            <rFont val="Tahoma"/>
            <family val="2"/>
          </rPr>
          <t xml:space="preserve">
Initial allocation plus unpaid rolled from previous year.
</t>
        </r>
      </text>
    </comment>
    <comment ref="A248" authorId="0" shapeId="0" xr:uid="{00000000-0006-0000-0400-000020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49" authorId="0" shapeId="0" xr:uid="{00000000-0006-0000-0400-000021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50" authorId="0" shapeId="0" xr:uid="{00000000-0006-0000-0400-000022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51" authorId="0" shapeId="0" xr:uid="{00000000-0006-0000-0400-000023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78" authorId="0" shapeId="0" xr:uid="{00000000-0006-0000-0400-000024000000}">
      <text>
        <r>
          <rPr>
            <b/>
            <sz val="8"/>
            <color indexed="81"/>
            <rFont val="Tahoma"/>
            <family val="2"/>
          </rPr>
          <t xml:space="preserve">Mary Wiencke:  Amount initially allocated to each fund each year.
</t>
        </r>
        <r>
          <rPr>
            <sz val="8"/>
            <color indexed="81"/>
            <rFont val="Tahoma"/>
            <family val="2"/>
          </rPr>
          <t xml:space="preserve">
</t>
        </r>
      </text>
    </comment>
    <comment ref="A279" authorId="0" shapeId="0" xr:uid="{00000000-0006-0000-0400-000025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80" authorId="0" shapeId="0" xr:uid="{00000000-0006-0000-0400-000026000000}">
      <text>
        <r>
          <rPr>
            <b/>
            <sz val="8"/>
            <color indexed="81"/>
            <rFont val="Tahoma"/>
            <family val="2"/>
          </rPr>
          <t>Mary Wiencke:</t>
        </r>
        <r>
          <rPr>
            <sz val="8"/>
            <color indexed="81"/>
            <rFont val="Tahoma"/>
            <family val="2"/>
          </rPr>
          <t xml:space="preserve">
Initial allocation plus unpaid rolled from previous year.
</t>
        </r>
      </text>
    </comment>
    <comment ref="A281" authorId="0" shapeId="0" xr:uid="{00000000-0006-0000-0400-000027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82" authorId="0" shapeId="0" xr:uid="{00000000-0006-0000-0400-000028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83" authorId="0" shapeId="0" xr:uid="{00000000-0006-0000-0400-000029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84" authorId="0" shapeId="0" xr:uid="{00000000-0006-0000-0400-00002A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09" authorId="0" shapeId="0" xr:uid="{00000000-0006-0000-0400-00002B000000}">
      <text>
        <r>
          <rPr>
            <b/>
            <sz val="8"/>
            <color indexed="81"/>
            <rFont val="Tahoma"/>
            <family val="2"/>
          </rPr>
          <t xml:space="preserve">Mary Wiencke:  Amount initially allocated to each fund each year.
</t>
        </r>
        <r>
          <rPr>
            <sz val="8"/>
            <color indexed="81"/>
            <rFont val="Tahoma"/>
            <family val="2"/>
          </rPr>
          <t xml:space="preserve">
</t>
        </r>
      </text>
    </comment>
    <comment ref="A310" authorId="0" shapeId="0" xr:uid="{00000000-0006-0000-0400-00002C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311" authorId="0" shapeId="0" xr:uid="{00000000-0006-0000-0400-00002D000000}">
      <text>
        <r>
          <rPr>
            <b/>
            <sz val="8"/>
            <color indexed="81"/>
            <rFont val="Tahoma"/>
            <family val="2"/>
          </rPr>
          <t>Mary Wiencke:</t>
        </r>
        <r>
          <rPr>
            <sz val="8"/>
            <color indexed="81"/>
            <rFont val="Tahoma"/>
            <family val="2"/>
          </rPr>
          <t xml:space="preserve">
Initial allocation plus unpaid rolled from previous year.
</t>
        </r>
      </text>
    </comment>
    <comment ref="A312" authorId="0" shapeId="0" xr:uid="{00000000-0006-0000-0400-00002E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313" authorId="0" shapeId="0" xr:uid="{00000000-0006-0000-0400-00002F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314" authorId="0" shapeId="0" xr:uid="{00000000-0006-0000-0400-000030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315" authorId="0" shapeId="0" xr:uid="{00000000-0006-0000-0400-000031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3" authorId="0" shapeId="0" xr:uid="{A918BD57-5E1E-4443-BF4E-D35693482DED}">
      <text>
        <r>
          <rPr>
            <b/>
            <sz val="8"/>
            <color indexed="81"/>
            <rFont val="Tahoma"/>
            <family val="2"/>
          </rPr>
          <t xml:space="preserve">Mary Wiencke:  Amount initially allocated to each fund each year.
</t>
        </r>
        <r>
          <rPr>
            <sz val="8"/>
            <color indexed="81"/>
            <rFont val="Tahoma"/>
            <family val="2"/>
          </rPr>
          <t xml:space="preserve">
</t>
        </r>
      </text>
    </comment>
    <comment ref="A4" authorId="0" shapeId="0" xr:uid="{9C182FF8-3DD7-40FC-91E9-FA5D56541CB5}">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5" authorId="0" shapeId="0" xr:uid="{F43456E4-BC3B-41AE-8D7D-CB2E5C6D3D13}">
      <text>
        <r>
          <rPr>
            <b/>
            <sz val="8"/>
            <color indexed="81"/>
            <rFont val="Tahoma"/>
            <family val="2"/>
          </rPr>
          <t>Mary Wiencke:</t>
        </r>
        <r>
          <rPr>
            <sz val="8"/>
            <color indexed="81"/>
            <rFont val="Tahoma"/>
            <family val="2"/>
          </rPr>
          <t xml:space="preserve">
Initial allocation plus unpaid rolled from previous year.
</t>
        </r>
      </text>
    </comment>
    <comment ref="A6" authorId="0" shapeId="0" xr:uid="{F5ED97AA-7FE5-4BAF-87B4-2CC4C0FE7C57}">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 authorId="0" shapeId="0" xr:uid="{9B063041-1D45-4789-8704-DDD88B766C25}">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 authorId="0" shapeId="0" xr:uid="{5859890F-DC42-4492-9280-8B53571D5C6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 authorId="0" shapeId="0" xr:uid="{8E2E3062-7171-4504-BD91-562CB31575FB}">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1" authorId="0" shapeId="0" xr:uid="{766C6EE5-A19E-47A1-8CB5-D6370C7834B3}">
      <text>
        <r>
          <rPr>
            <b/>
            <sz val="8"/>
            <color indexed="81"/>
            <rFont val="Tahoma"/>
            <family val="2"/>
          </rPr>
          <t xml:space="preserve">Mary Wiencke:  Amount initially allocated to each fund each year.
</t>
        </r>
        <r>
          <rPr>
            <sz val="8"/>
            <color indexed="81"/>
            <rFont val="Tahoma"/>
            <family val="2"/>
          </rPr>
          <t xml:space="preserve">
</t>
        </r>
      </text>
    </comment>
    <comment ref="A32" authorId="0" shapeId="0" xr:uid="{4095C23F-75D1-4571-94D0-EDF4E2B8D82A}">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33" authorId="0" shapeId="0" xr:uid="{3EEFAEEA-6108-4DFD-90E6-39DEBAD5FDE3}">
      <text>
        <r>
          <rPr>
            <b/>
            <sz val="8"/>
            <color indexed="81"/>
            <rFont val="Tahoma"/>
            <family val="2"/>
          </rPr>
          <t>Mary Wiencke:</t>
        </r>
        <r>
          <rPr>
            <sz val="8"/>
            <color indexed="81"/>
            <rFont val="Tahoma"/>
            <family val="2"/>
          </rPr>
          <t xml:space="preserve">
Initial allocation plus unpaid rolled from previous year.
</t>
        </r>
      </text>
    </comment>
    <comment ref="A34" authorId="0" shapeId="0" xr:uid="{0D1C8DFC-C215-4D3A-AB72-6EBEE904156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35" authorId="0" shapeId="0" xr:uid="{6BFBF90D-C40A-445D-A8A9-C988DE17A34C}">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36" authorId="0" shapeId="0" xr:uid="{B4189BAE-353E-470C-93CC-C5E14398196A}">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37" authorId="0" shapeId="0" xr:uid="{484476BB-3671-4009-9733-8ADB51485D13}">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59" authorId="0" shapeId="0" xr:uid="{7D489E71-B88B-41D6-AF43-CE6429C0FD1D}">
      <text>
        <r>
          <rPr>
            <b/>
            <sz val="8"/>
            <color indexed="81"/>
            <rFont val="Tahoma"/>
            <family val="2"/>
          </rPr>
          <t xml:space="preserve">Mary Wiencke:  Amount initially allocated to each fund each year.
</t>
        </r>
        <r>
          <rPr>
            <sz val="8"/>
            <color indexed="81"/>
            <rFont val="Tahoma"/>
            <family val="2"/>
          </rPr>
          <t xml:space="preserve">
</t>
        </r>
      </text>
    </comment>
    <comment ref="A60" authorId="0" shapeId="0" xr:uid="{970A323E-FD59-4424-9DCA-74764642B5F2}">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1" authorId="0" shapeId="0" xr:uid="{3E9920AF-8B7A-4A51-97D0-EAABF2ED769B}">
      <text>
        <r>
          <rPr>
            <b/>
            <sz val="8"/>
            <color indexed="81"/>
            <rFont val="Tahoma"/>
            <family val="2"/>
          </rPr>
          <t>Mary Wiencke:</t>
        </r>
        <r>
          <rPr>
            <sz val="8"/>
            <color indexed="81"/>
            <rFont val="Tahoma"/>
            <family val="2"/>
          </rPr>
          <t xml:space="preserve">
Initial allocation plus unpaid rolled from previous year.
</t>
        </r>
      </text>
    </comment>
    <comment ref="A62" authorId="0" shapeId="0" xr:uid="{37E81931-846E-41B8-8248-794CD04F8444}">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63" authorId="0" shapeId="0" xr:uid="{F1FF7891-510B-4334-855A-53C8DCA0343A}">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64" authorId="0" shapeId="0" xr:uid="{563DB0AE-84F4-48C9-A0F5-EAA9DDB72A77}">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65" authorId="0" shapeId="0" xr:uid="{203970DD-0B81-4D9C-8FC0-DF65739F88A2}">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87" authorId="0" shapeId="0" xr:uid="{F05F8720-C653-43F8-86EA-BECFC46EB67B}">
      <text>
        <r>
          <rPr>
            <b/>
            <sz val="8"/>
            <color indexed="81"/>
            <rFont val="Tahoma"/>
            <family val="2"/>
          </rPr>
          <t xml:space="preserve">Mary Wiencke:  Amount initially allocated to each fund each year.
</t>
        </r>
        <r>
          <rPr>
            <sz val="8"/>
            <color indexed="81"/>
            <rFont val="Tahoma"/>
            <family val="2"/>
          </rPr>
          <t xml:space="preserve">
</t>
        </r>
      </text>
    </comment>
    <comment ref="A88" authorId="0" shapeId="0" xr:uid="{2B928F97-061C-4FFE-8969-9036CFEFEA5B}">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89" authorId="0" shapeId="0" xr:uid="{33BBB8E8-D483-4EEF-9F16-76C59D1E354D}">
      <text>
        <r>
          <rPr>
            <b/>
            <sz val="8"/>
            <color indexed="81"/>
            <rFont val="Tahoma"/>
            <family val="2"/>
          </rPr>
          <t>Mary Wiencke:</t>
        </r>
        <r>
          <rPr>
            <sz val="8"/>
            <color indexed="81"/>
            <rFont val="Tahoma"/>
            <family val="2"/>
          </rPr>
          <t xml:space="preserve">
Initial allocation plus unpaid rolled from previous year.
</t>
        </r>
      </text>
    </comment>
    <comment ref="A90" authorId="0" shapeId="0" xr:uid="{380285B3-3BB3-49D1-9D45-3F7330E93066}">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91" authorId="0" shapeId="0" xr:uid="{D4F14196-B415-4127-BDE2-AFE1718AD265}">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92" authorId="0" shapeId="0" xr:uid="{6B84CE8F-C114-426E-BB78-77AE343A7AD8}">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3" authorId="0" shapeId="0" xr:uid="{7AE82554-DCFA-4BC2-844E-D39AD0E88E26}">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10" authorId="0" shapeId="0" xr:uid="{00000000-0006-0000-0500-000001000000}">
      <text>
        <r>
          <rPr>
            <b/>
            <sz val="8"/>
            <color indexed="81"/>
            <rFont val="Tahoma"/>
            <family val="2"/>
          </rPr>
          <t xml:space="preserve">Mary Wiencke:  Amount initially allocated to each fund each year.
</t>
        </r>
        <r>
          <rPr>
            <sz val="8"/>
            <color indexed="81"/>
            <rFont val="Tahoma"/>
            <family val="2"/>
          </rPr>
          <t xml:space="preserve">
</t>
        </r>
      </text>
    </comment>
    <comment ref="A111" authorId="0" shapeId="0" xr:uid="{00000000-0006-0000-0500-000002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12" authorId="0" shapeId="0" xr:uid="{00000000-0006-0000-0500-000003000000}">
      <text>
        <r>
          <rPr>
            <b/>
            <sz val="8"/>
            <color indexed="81"/>
            <rFont val="Tahoma"/>
            <family val="2"/>
          </rPr>
          <t>Mary Wiencke:</t>
        </r>
        <r>
          <rPr>
            <sz val="8"/>
            <color indexed="81"/>
            <rFont val="Tahoma"/>
            <family val="2"/>
          </rPr>
          <t xml:space="preserve">
Initial allocation plus unpaid rolled from previous year.
</t>
        </r>
      </text>
    </comment>
    <comment ref="A113" authorId="0" shapeId="0" xr:uid="{00000000-0006-0000-0500-000004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14" authorId="0" shapeId="0" xr:uid="{00000000-0006-0000-0500-000005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15" authorId="0" shapeId="0" xr:uid="{00000000-0006-0000-0500-000006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16" authorId="0" shapeId="0" xr:uid="{00000000-0006-0000-0500-000007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33" authorId="0" shapeId="0" xr:uid="{00000000-0006-0000-0500-000008000000}">
      <text>
        <r>
          <rPr>
            <b/>
            <sz val="8"/>
            <color indexed="81"/>
            <rFont val="Tahoma"/>
            <family val="2"/>
          </rPr>
          <t xml:space="preserve">Mary Wiencke:  Amount initially allocated to each fund each year.
</t>
        </r>
        <r>
          <rPr>
            <sz val="8"/>
            <color indexed="81"/>
            <rFont val="Tahoma"/>
            <family val="2"/>
          </rPr>
          <t xml:space="preserve">
</t>
        </r>
      </text>
    </comment>
    <comment ref="A134" authorId="0" shapeId="0" xr:uid="{00000000-0006-0000-0500-000009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35" authorId="0" shapeId="0" xr:uid="{00000000-0006-0000-0500-00000A000000}">
      <text>
        <r>
          <rPr>
            <b/>
            <sz val="8"/>
            <color indexed="81"/>
            <rFont val="Tahoma"/>
            <family val="2"/>
          </rPr>
          <t>Mary Wiencke:</t>
        </r>
        <r>
          <rPr>
            <sz val="8"/>
            <color indexed="81"/>
            <rFont val="Tahoma"/>
            <family val="2"/>
          </rPr>
          <t xml:space="preserve">
Initial allocation plus unpaid rolled from previous year.
</t>
        </r>
      </text>
    </comment>
    <comment ref="A136" authorId="0" shapeId="0" xr:uid="{00000000-0006-0000-0500-00000B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37" authorId="0" shapeId="0" xr:uid="{00000000-0006-0000-0500-00000C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38" authorId="0" shapeId="0" xr:uid="{00000000-0006-0000-0500-00000D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39" authorId="0" shapeId="0" xr:uid="{00000000-0006-0000-0500-00000E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60" authorId="0" shapeId="0" xr:uid="{00000000-0006-0000-0500-00000F000000}">
      <text>
        <r>
          <rPr>
            <b/>
            <sz val="8"/>
            <color indexed="81"/>
            <rFont val="Tahoma"/>
            <family val="2"/>
          </rPr>
          <t xml:space="preserve">Mary Wiencke:  Amount initially allocated to each fund each year.
</t>
        </r>
        <r>
          <rPr>
            <sz val="8"/>
            <color indexed="81"/>
            <rFont val="Tahoma"/>
            <family val="2"/>
          </rPr>
          <t xml:space="preserve">
</t>
        </r>
      </text>
    </comment>
    <comment ref="A161" authorId="0" shapeId="0" xr:uid="{00000000-0006-0000-0500-000010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62" authorId="0" shapeId="0" xr:uid="{00000000-0006-0000-0500-000011000000}">
      <text>
        <r>
          <rPr>
            <b/>
            <sz val="8"/>
            <color indexed="81"/>
            <rFont val="Tahoma"/>
            <family val="2"/>
          </rPr>
          <t>Mary Wiencke:</t>
        </r>
        <r>
          <rPr>
            <sz val="8"/>
            <color indexed="81"/>
            <rFont val="Tahoma"/>
            <family val="2"/>
          </rPr>
          <t xml:space="preserve">
Initial allocation plus unpaid rolled from previous year.
</t>
        </r>
      </text>
    </comment>
    <comment ref="A163" authorId="0" shapeId="0" xr:uid="{00000000-0006-0000-0500-000012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64" authorId="0" shapeId="0" xr:uid="{00000000-0006-0000-0500-00001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65" authorId="0" shapeId="0" xr:uid="{00000000-0006-0000-0500-000014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66" authorId="0" shapeId="0" xr:uid="{00000000-0006-0000-0500-000015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85" authorId="0" shapeId="0" xr:uid="{00000000-0006-0000-0500-000016000000}">
      <text>
        <r>
          <rPr>
            <b/>
            <sz val="8"/>
            <color indexed="81"/>
            <rFont val="Tahoma"/>
            <family val="2"/>
          </rPr>
          <t xml:space="preserve">Mary Wiencke:  Amount initially allocated to each fund each year.
</t>
        </r>
        <r>
          <rPr>
            <sz val="8"/>
            <color indexed="81"/>
            <rFont val="Tahoma"/>
            <family val="2"/>
          </rPr>
          <t xml:space="preserve">
</t>
        </r>
      </text>
    </comment>
    <comment ref="A186" authorId="0" shapeId="0" xr:uid="{00000000-0006-0000-0500-000017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87" authorId="0" shapeId="0" xr:uid="{00000000-0006-0000-0500-000018000000}">
      <text>
        <r>
          <rPr>
            <b/>
            <sz val="8"/>
            <color indexed="81"/>
            <rFont val="Tahoma"/>
            <family val="2"/>
          </rPr>
          <t>Mary Wiencke:</t>
        </r>
        <r>
          <rPr>
            <sz val="8"/>
            <color indexed="81"/>
            <rFont val="Tahoma"/>
            <family val="2"/>
          </rPr>
          <t xml:space="preserve">
Initial allocation plus unpaid rolled from previous year.
</t>
        </r>
      </text>
    </comment>
    <comment ref="A188" authorId="0" shapeId="0" xr:uid="{00000000-0006-0000-0500-000019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89" authorId="0" shapeId="0" xr:uid="{00000000-0006-0000-0500-00001A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90" authorId="0" shapeId="0" xr:uid="{00000000-0006-0000-0500-00001B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91" authorId="0" shapeId="0" xr:uid="{00000000-0006-0000-0500-00001C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14" authorId="0" shapeId="0" xr:uid="{00000000-0006-0000-0500-00001D000000}">
      <text>
        <r>
          <rPr>
            <b/>
            <sz val="8"/>
            <color indexed="81"/>
            <rFont val="Tahoma"/>
            <family val="2"/>
          </rPr>
          <t xml:space="preserve">Mary Wiencke:  Amount initially allocated to each fund each year.
</t>
        </r>
        <r>
          <rPr>
            <sz val="8"/>
            <color indexed="81"/>
            <rFont val="Tahoma"/>
            <family val="2"/>
          </rPr>
          <t xml:space="preserve">
</t>
        </r>
      </text>
    </comment>
    <comment ref="A215" authorId="0" shapeId="0" xr:uid="{00000000-0006-0000-0500-00001E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16" authorId="0" shapeId="0" xr:uid="{00000000-0006-0000-0500-00001F000000}">
      <text>
        <r>
          <rPr>
            <b/>
            <sz val="8"/>
            <color indexed="81"/>
            <rFont val="Tahoma"/>
            <family val="2"/>
          </rPr>
          <t>Mary Wiencke:</t>
        </r>
        <r>
          <rPr>
            <sz val="8"/>
            <color indexed="81"/>
            <rFont val="Tahoma"/>
            <family val="2"/>
          </rPr>
          <t xml:space="preserve">
Initial allocation plus unpaid rolled from previous year.
</t>
        </r>
      </text>
    </comment>
    <comment ref="A217" authorId="0" shapeId="0" xr:uid="{00000000-0006-0000-0500-000020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18" authorId="0" shapeId="0" xr:uid="{00000000-0006-0000-0500-000021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19" authorId="0" shapeId="0" xr:uid="{00000000-0006-0000-0500-000022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20" authorId="0" shapeId="0" xr:uid="{00000000-0006-0000-0500-000023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37" authorId="0" shapeId="0" xr:uid="{00000000-0006-0000-0500-000024000000}">
      <text>
        <r>
          <rPr>
            <b/>
            <sz val="8"/>
            <color indexed="81"/>
            <rFont val="Tahoma"/>
            <family val="2"/>
          </rPr>
          <t xml:space="preserve">Mary Wiencke:  Amount initially allocated to each fund each year.
</t>
        </r>
        <r>
          <rPr>
            <sz val="8"/>
            <color indexed="81"/>
            <rFont val="Tahoma"/>
            <family val="2"/>
          </rPr>
          <t xml:space="preserve">
</t>
        </r>
      </text>
    </comment>
    <comment ref="A238" authorId="0" shapeId="0" xr:uid="{00000000-0006-0000-0500-000025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39" authorId="0" shapeId="0" xr:uid="{00000000-0006-0000-0500-000026000000}">
      <text>
        <r>
          <rPr>
            <b/>
            <sz val="8"/>
            <color indexed="81"/>
            <rFont val="Tahoma"/>
            <family val="2"/>
          </rPr>
          <t>Mary Wiencke:</t>
        </r>
        <r>
          <rPr>
            <sz val="8"/>
            <color indexed="81"/>
            <rFont val="Tahoma"/>
            <family val="2"/>
          </rPr>
          <t xml:space="preserve">
Initial allocation plus unpaid rolled from previous year.
</t>
        </r>
      </text>
    </comment>
    <comment ref="A240" authorId="0" shapeId="0" xr:uid="{00000000-0006-0000-0500-000027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41" authorId="0" shapeId="0" xr:uid="{00000000-0006-0000-0500-000028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42" authorId="0" shapeId="0" xr:uid="{00000000-0006-0000-0500-000029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43" authorId="0" shapeId="0" xr:uid="{00000000-0006-0000-0500-00002A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65" authorId="0" shapeId="0" xr:uid="{00000000-0006-0000-0500-00002B000000}">
      <text>
        <r>
          <rPr>
            <b/>
            <sz val="8"/>
            <color indexed="81"/>
            <rFont val="Tahoma"/>
            <family val="2"/>
          </rPr>
          <t xml:space="preserve">Mary Wiencke:  Amount initially allocated to each fund each year.
</t>
        </r>
        <r>
          <rPr>
            <sz val="8"/>
            <color indexed="81"/>
            <rFont val="Tahoma"/>
            <family val="2"/>
          </rPr>
          <t xml:space="preserve">
</t>
        </r>
      </text>
    </comment>
    <comment ref="A266" authorId="0" shapeId="0" xr:uid="{00000000-0006-0000-0500-00002C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67" authorId="0" shapeId="0" xr:uid="{00000000-0006-0000-0500-00002D000000}">
      <text>
        <r>
          <rPr>
            <b/>
            <sz val="8"/>
            <color indexed="81"/>
            <rFont val="Tahoma"/>
            <family val="2"/>
          </rPr>
          <t>Mary Wiencke:</t>
        </r>
        <r>
          <rPr>
            <sz val="8"/>
            <color indexed="81"/>
            <rFont val="Tahoma"/>
            <family val="2"/>
          </rPr>
          <t xml:space="preserve">
Initial allocation plus unpaid rolled from previous year.
</t>
        </r>
      </text>
    </comment>
    <comment ref="A268" authorId="0" shapeId="0" xr:uid="{00000000-0006-0000-0500-00002E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69" authorId="0" shapeId="0" xr:uid="{00000000-0006-0000-0500-00002F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70" authorId="0" shapeId="0" xr:uid="{00000000-0006-0000-0500-000030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71" authorId="0" shapeId="0" xr:uid="{00000000-0006-0000-0500-000031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4" authorId="0" shapeId="0" xr:uid="{C796B765-244A-49EC-928B-BBA8E229CEF6}">
      <text>
        <r>
          <rPr>
            <b/>
            <sz val="8"/>
            <color indexed="81"/>
            <rFont val="Tahoma"/>
            <family val="2"/>
          </rPr>
          <t xml:space="preserve">Mary Wiencke:  Amount initially allocated to each fund each year.
</t>
        </r>
        <r>
          <rPr>
            <sz val="8"/>
            <color indexed="81"/>
            <rFont val="Tahoma"/>
            <family val="2"/>
          </rPr>
          <t xml:space="preserve">
</t>
        </r>
      </text>
    </comment>
    <comment ref="A5" authorId="0" shapeId="0" xr:uid="{E8C149B6-ED66-45E5-9DE5-91DB82056457}">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 authorId="0" shapeId="0" xr:uid="{75CD35DE-0AC1-4D0D-B5D7-3127B1B99E73}">
      <text>
        <r>
          <rPr>
            <b/>
            <sz val="8"/>
            <color indexed="81"/>
            <rFont val="Tahoma"/>
            <family val="2"/>
          </rPr>
          <t>Mary Wiencke:</t>
        </r>
        <r>
          <rPr>
            <sz val="8"/>
            <color indexed="81"/>
            <rFont val="Tahoma"/>
            <family val="2"/>
          </rPr>
          <t xml:space="preserve">
Initial allocation plus unpaid rolled from previous year.
</t>
        </r>
      </text>
    </comment>
    <comment ref="A7" authorId="0" shapeId="0" xr:uid="{9D6C9902-85C2-45DF-B019-AB57E377C8EF}">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8" authorId="0" shapeId="0" xr:uid="{26C09646-28C7-4C98-9417-60936A1E67B4}">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9" authorId="0" shapeId="0" xr:uid="{761534BA-C036-4BA8-AE1F-7BEBD956B1D6}">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0" authorId="0" shapeId="0" xr:uid="{21EDD8D8-353E-4E24-93F9-E3D6E2B4EACB}">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5" authorId="0" shapeId="0" xr:uid="{4B633DD6-CF38-4E6F-97FE-B3B6434164EA}">
      <text>
        <r>
          <rPr>
            <b/>
            <sz val="8"/>
            <color indexed="81"/>
            <rFont val="Tahoma"/>
            <family val="2"/>
          </rPr>
          <t xml:space="preserve">Mary Wiencke:  Amount initially allocated to each fund each year.
</t>
        </r>
        <r>
          <rPr>
            <sz val="8"/>
            <color indexed="81"/>
            <rFont val="Tahoma"/>
            <family val="2"/>
          </rPr>
          <t xml:space="preserve">
</t>
        </r>
      </text>
    </comment>
    <comment ref="A36" authorId="0" shapeId="0" xr:uid="{3B7C8BE8-8180-45F6-885B-8E0C0F2484D3}">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37" authorId="0" shapeId="0" xr:uid="{A465E57C-8472-4191-AC78-A147F7720CC9}">
      <text>
        <r>
          <rPr>
            <b/>
            <sz val="8"/>
            <color indexed="81"/>
            <rFont val="Tahoma"/>
            <family val="2"/>
          </rPr>
          <t>Mary Wiencke:</t>
        </r>
        <r>
          <rPr>
            <sz val="8"/>
            <color indexed="81"/>
            <rFont val="Tahoma"/>
            <family val="2"/>
          </rPr>
          <t xml:space="preserve">
Initial allocation plus unpaid rolled from previous year.
</t>
        </r>
      </text>
    </comment>
    <comment ref="A38" authorId="0" shapeId="0" xr:uid="{69F0719E-E315-40F2-8135-9B8F8EE3628A}">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39" authorId="0" shapeId="0" xr:uid="{D8383E53-EA24-4EAE-B8DF-94EBBA0E201B}">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0" authorId="0" shapeId="0" xr:uid="{82417170-854D-4582-B8DB-CA3C468E6DCF}">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1" authorId="0" shapeId="0" xr:uid="{1909BD1C-20E4-4BC3-8530-DF57A678F16A}">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66" authorId="0" shapeId="0" xr:uid="{BE395C90-8492-47C0-8E23-68C06B6228E2}">
      <text>
        <r>
          <rPr>
            <b/>
            <sz val="8"/>
            <color indexed="81"/>
            <rFont val="Tahoma"/>
            <family val="2"/>
          </rPr>
          <t xml:space="preserve">Mary Wiencke:  Amount initially allocated to each fund each year.
</t>
        </r>
        <r>
          <rPr>
            <sz val="8"/>
            <color indexed="81"/>
            <rFont val="Tahoma"/>
            <family val="2"/>
          </rPr>
          <t xml:space="preserve">
</t>
        </r>
      </text>
    </comment>
    <comment ref="A67" authorId="0" shapeId="0" xr:uid="{A68EE40E-CDEF-4989-810B-11EE3E6D3B77}">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8" authorId="0" shapeId="0" xr:uid="{481C90D7-0BB8-4D0A-BF2F-9B61D697B0E1}">
      <text>
        <r>
          <rPr>
            <b/>
            <sz val="8"/>
            <color indexed="81"/>
            <rFont val="Tahoma"/>
            <family val="2"/>
          </rPr>
          <t>Mary Wiencke:</t>
        </r>
        <r>
          <rPr>
            <sz val="8"/>
            <color indexed="81"/>
            <rFont val="Tahoma"/>
            <family val="2"/>
          </rPr>
          <t xml:space="preserve">
Initial allocation plus unpaid rolled from previous year.
</t>
        </r>
      </text>
    </comment>
    <comment ref="A69" authorId="0" shapeId="0" xr:uid="{287098DC-23C8-4FE2-BA59-15B7127DAF69}">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0" authorId="0" shapeId="0" xr:uid="{06FA0826-CB6A-492C-A3DC-083E2F733012}">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71" authorId="0" shapeId="0" xr:uid="{180F9FF3-8F53-4F39-BF08-6FB3A7D1D1D7}">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72" authorId="0" shapeId="0" xr:uid="{D1E06981-1433-4B6E-BE1D-65CF9459A168}">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98" authorId="0" shapeId="0" xr:uid="{AF7509C6-9139-49CE-AD97-07EF2C782411}">
      <text>
        <r>
          <rPr>
            <b/>
            <sz val="8"/>
            <color indexed="81"/>
            <rFont val="Tahoma"/>
            <family val="2"/>
          </rPr>
          <t xml:space="preserve">Mary Wiencke:  Amount initially allocated to each fund each year.
</t>
        </r>
        <r>
          <rPr>
            <sz val="8"/>
            <color indexed="81"/>
            <rFont val="Tahoma"/>
            <family val="2"/>
          </rPr>
          <t xml:space="preserve">
</t>
        </r>
      </text>
    </comment>
    <comment ref="A99" authorId="0" shapeId="0" xr:uid="{93B5795F-4832-4F56-904D-D15C859F5D7B}">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00" authorId="0" shapeId="0" xr:uid="{8A41E56A-7614-4C45-A50C-71A84B14762B}">
      <text>
        <r>
          <rPr>
            <b/>
            <sz val="8"/>
            <color indexed="81"/>
            <rFont val="Tahoma"/>
            <family val="2"/>
          </rPr>
          <t>Mary Wiencke:</t>
        </r>
        <r>
          <rPr>
            <sz val="8"/>
            <color indexed="81"/>
            <rFont val="Tahoma"/>
            <family val="2"/>
          </rPr>
          <t xml:space="preserve">
Initial allocation plus unpaid rolled from previous year.
</t>
        </r>
      </text>
    </comment>
    <comment ref="A101" authorId="0" shapeId="0" xr:uid="{6CC94884-53C7-4508-8F1A-F5068546BD42}">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02" authorId="0" shapeId="0" xr:uid="{452B8872-EF80-434C-AD72-F8C215185DDB}">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03" authorId="0" shapeId="0" xr:uid="{76DEC460-DB11-4AB1-B0FD-93B398E13E74}">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04" authorId="0" shapeId="0" xr:uid="{852165D8-AE34-4435-8FD7-3272ED702C42}">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24" authorId="0" shapeId="0" xr:uid="{00000000-0006-0000-0600-000001000000}">
      <text>
        <r>
          <rPr>
            <b/>
            <sz val="8"/>
            <color indexed="81"/>
            <rFont val="Tahoma"/>
            <family val="2"/>
          </rPr>
          <t xml:space="preserve">Mary Wiencke:  Amount initially allocated to each fund each year.
</t>
        </r>
        <r>
          <rPr>
            <sz val="8"/>
            <color indexed="81"/>
            <rFont val="Tahoma"/>
            <family val="2"/>
          </rPr>
          <t xml:space="preserve">
</t>
        </r>
      </text>
    </comment>
    <comment ref="A125" authorId="0" shapeId="0" xr:uid="{00000000-0006-0000-0600-000002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26" authorId="0" shapeId="0" xr:uid="{00000000-0006-0000-0600-000003000000}">
      <text>
        <r>
          <rPr>
            <b/>
            <sz val="8"/>
            <color indexed="81"/>
            <rFont val="Tahoma"/>
            <family val="2"/>
          </rPr>
          <t>Mary Wiencke:</t>
        </r>
        <r>
          <rPr>
            <sz val="8"/>
            <color indexed="81"/>
            <rFont val="Tahoma"/>
            <family val="2"/>
          </rPr>
          <t xml:space="preserve">
Initial allocation plus unpaid rolled from previous year.
</t>
        </r>
      </text>
    </comment>
    <comment ref="A127" authorId="0" shapeId="0" xr:uid="{00000000-0006-0000-0600-000004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28" authorId="0" shapeId="0" xr:uid="{00000000-0006-0000-0600-000005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29" authorId="0" shapeId="0" xr:uid="{00000000-0006-0000-0600-000006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30" authorId="0" shapeId="0" xr:uid="{00000000-0006-0000-0600-000007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49" authorId="0" shapeId="0" xr:uid="{B6FF49F4-614A-4997-9556-4ADD704244F6}">
      <text>
        <r>
          <rPr>
            <b/>
            <sz val="8"/>
            <color indexed="81"/>
            <rFont val="Tahoma"/>
            <family val="2"/>
          </rPr>
          <t xml:space="preserve">Mary Wiencke:  Amount initially allocated to each fund each year.
</t>
        </r>
        <r>
          <rPr>
            <sz val="8"/>
            <color indexed="81"/>
            <rFont val="Tahoma"/>
            <family val="2"/>
          </rPr>
          <t xml:space="preserve">
</t>
        </r>
      </text>
    </comment>
    <comment ref="A150" authorId="0" shapeId="0" xr:uid="{A1D80F19-7507-4E6A-BBB5-017F84F0A3C6}">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51" authorId="0" shapeId="0" xr:uid="{1FEDC983-C255-4EB2-89B4-8B2D8873FC03}">
      <text>
        <r>
          <rPr>
            <b/>
            <sz val="8"/>
            <color indexed="81"/>
            <rFont val="Tahoma"/>
            <family val="2"/>
          </rPr>
          <t>Mary Wiencke:</t>
        </r>
        <r>
          <rPr>
            <sz val="8"/>
            <color indexed="81"/>
            <rFont val="Tahoma"/>
            <family val="2"/>
          </rPr>
          <t xml:space="preserve">
Initial allocation plus unpaid rolled from previous year.
</t>
        </r>
      </text>
    </comment>
    <comment ref="A152" authorId="0" shapeId="0" xr:uid="{9C04A30E-7412-4905-B368-7ED528CCE5A2}">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53" authorId="0" shapeId="0" xr:uid="{66052BFA-3DEC-4971-BFDF-58834371176E}">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54" authorId="0" shapeId="0" xr:uid="{6E51ED96-8BC7-4110-B469-7F5A68376F7B}">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55" authorId="0" shapeId="0" xr:uid="{2544725C-89CE-48E6-906A-BF67C7B17788}">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78" authorId="0" shapeId="0" xr:uid="{00000000-0006-0000-0600-000008000000}">
      <text>
        <r>
          <rPr>
            <b/>
            <sz val="8"/>
            <color indexed="81"/>
            <rFont val="Tahoma"/>
            <family val="2"/>
          </rPr>
          <t xml:space="preserve">Mary Wiencke:  Amount initially allocated to each fund each year.
</t>
        </r>
        <r>
          <rPr>
            <sz val="8"/>
            <color indexed="81"/>
            <rFont val="Tahoma"/>
            <family val="2"/>
          </rPr>
          <t xml:space="preserve">
</t>
        </r>
      </text>
    </comment>
    <comment ref="A179" authorId="0" shapeId="0" xr:uid="{00000000-0006-0000-0600-000009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80" authorId="0" shapeId="0" xr:uid="{00000000-0006-0000-0600-00000A000000}">
      <text>
        <r>
          <rPr>
            <b/>
            <sz val="8"/>
            <color indexed="81"/>
            <rFont val="Tahoma"/>
            <family val="2"/>
          </rPr>
          <t>Mary Wiencke:</t>
        </r>
        <r>
          <rPr>
            <sz val="8"/>
            <color indexed="81"/>
            <rFont val="Tahoma"/>
            <family val="2"/>
          </rPr>
          <t xml:space="preserve">
Initial allocation plus unpaid rolled from previous year.
</t>
        </r>
      </text>
    </comment>
    <comment ref="A181" authorId="0" shapeId="0" xr:uid="{00000000-0006-0000-0600-00000B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82" authorId="0" shapeId="0" xr:uid="{00000000-0006-0000-0600-00000C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83" authorId="0" shapeId="0" xr:uid="{00000000-0006-0000-0600-00000D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84" authorId="0" shapeId="0" xr:uid="{00000000-0006-0000-0600-00000E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04" authorId="0" shapeId="0" xr:uid="{00000000-0006-0000-0600-00000F000000}">
      <text>
        <r>
          <rPr>
            <b/>
            <sz val="8"/>
            <color indexed="81"/>
            <rFont val="Tahoma"/>
            <family val="2"/>
          </rPr>
          <t xml:space="preserve">Mary Wiencke:  Amount initially allocated to each fund each year.
</t>
        </r>
        <r>
          <rPr>
            <sz val="8"/>
            <color indexed="81"/>
            <rFont val="Tahoma"/>
            <family val="2"/>
          </rPr>
          <t xml:space="preserve">
</t>
        </r>
      </text>
    </comment>
    <comment ref="A205" authorId="0" shapeId="0" xr:uid="{00000000-0006-0000-0600-000010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06" authorId="0" shapeId="0" xr:uid="{00000000-0006-0000-0600-000011000000}">
      <text>
        <r>
          <rPr>
            <b/>
            <sz val="8"/>
            <color indexed="81"/>
            <rFont val="Tahoma"/>
            <family val="2"/>
          </rPr>
          <t>Mary Wiencke:</t>
        </r>
        <r>
          <rPr>
            <sz val="8"/>
            <color indexed="81"/>
            <rFont val="Tahoma"/>
            <family val="2"/>
          </rPr>
          <t xml:space="preserve">
Initial allocation plus unpaid rolled from previous year.
</t>
        </r>
      </text>
    </comment>
    <comment ref="A207" authorId="0" shapeId="0" xr:uid="{00000000-0006-0000-0600-000012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08" authorId="0" shapeId="0" xr:uid="{00000000-0006-0000-0600-00001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09" authorId="0" shapeId="0" xr:uid="{00000000-0006-0000-0600-000014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10" authorId="0" shapeId="0" xr:uid="{00000000-0006-0000-0600-000015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29" authorId="0" shapeId="0" xr:uid="{00000000-0006-0000-0600-000016000000}">
      <text>
        <r>
          <rPr>
            <b/>
            <sz val="8"/>
            <color indexed="81"/>
            <rFont val="Tahoma"/>
            <family val="2"/>
          </rPr>
          <t xml:space="preserve">Mary Wiencke:  Amount initially allocated to each fund each year.
</t>
        </r>
        <r>
          <rPr>
            <sz val="8"/>
            <color indexed="81"/>
            <rFont val="Tahoma"/>
            <family val="2"/>
          </rPr>
          <t xml:space="preserve">
</t>
        </r>
      </text>
    </comment>
    <comment ref="A230" authorId="0" shapeId="0" xr:uid="{00000000-0006-0000-0600-000017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31" authorId="0" shapeId="0" xr:uid="{00000000-0006-0000-0600-000018000000}">
      <text>
        <r>
          <rPr>
            <b/>
            <sz val="8"/>
            <color indexed="81"/>
            <rFont val="Tahoma"/>
            <family val="2"/>
          </rPr>
          <t>Mary Wiencke:</t>
        </r>
        <r>
          <rPr>
            <sz val="8"/>
            <color indexed="81"/>
            <rFont val="Tahoma"/>
            <family val="2"/>
          </rPr>
          <t xml:space="preserve">
Initial allocation plus unpaid rolled from previous year.
</t>
        </r>
      </text>
    </comment>
    <comment ref="A232" authorId="0" shapeId="0" xr:uid="{00000000-0006-0000-0600-000019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33" authorId="0" shapeId="0" xr:uid="{00000000-0006-0000-0600-00001A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34" authorId="0" shapeId="0" xr:uid="{00000000-0006-0000-0600-00001B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35" authorId="0" shapeId="0" xr:uid="{00000000-0006-0000-0600-00001C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54" authorId="0" shapeId="0" xr:uid="{00000000-0006-0000-0600-00001D000000}">
      <text>
        <r>
          <rPr>
            <b/>
            <sz val="8"/>
            <color indexed="81"/>
            <rFont val="Tahoma"/>
            <family val="2"/>
          </rPr>
          <t xml:space="preserve">Mary Wiencke:  Amount initially allocated to each fund each year.
</t>
        </r>
        <r>
          <rPr>
            <sz val="8"/>
            <color indexed="81"/>
            <rFont val="Tahoma"/>
            <family val="2"/>
          </rPr>
          <t xml:space="preserve">
</t>
        </r>
      </text>
    </comment>
    <comment ref="A255" authorId="0" shapeId="0" xr:uid="{00000000-0006-0000-0600-00001E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56" authorId="0" shapeId="0" xr:uid="{00000000-0006-0000-0600-00001F000000}">
      <text>
        <r>
          <rPr>
            <b/>
            <sz val="8"/>
            <color indexed="81"/>
            <rFont val="Tahoma"/>
            <family val="2"/>
          </rPr>
          <t>Mary Wiencke:</t>
        </r>
        <r>
          <rPr>
            <sz val="8"/>
            <color indexed="81"/>
            <rFont val="Tahoma"/>
            <family val="2"/>
          </rPr>
          <t xml:space="preserve">
Initial allocation plus unpaid rolled from previous year.
</t>
        </r>
      </text>
    </comment>
    <comment ref="A257" authorId="0" shapeId="0" xr:uid="{00000000-0006-0000-0600-000020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58" authorId="0" shapeId="0" xr:uid="{00000000-0006-0000-0600-000021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59" authorId="0" shapeId="0" xr:uid="{00000000-0006-0000-0600-000022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60" authorId="0" shapeId="0" xr:uid="{00000000-0006-0000-0600-000023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83" authorId="0" shapeId="0" xr:uid="{00000000-0006-0000-0600-000024000000}">
      <text>
        <r>
          <rPr>
            <b/>
            <sz val="8"/>
            <color indexed="81"/>
            <rFont val="Tahoma"/>
            <family val="2"/>
          </rPr>
          <t xml:space="preserve">Mary Wiencke:  Amount initially allocated to each fund each year.
</t>
        </r>
        <r>
          <rPr>
            <sz val="8"/>
            <color indexed="81"/>
            <rFont val="Tahoma"/>
            <family val="2"/>
          </rPr>
          <t xml:space="preserve">
</t>
        </r>
      </text>
    </comment>
    <comment ref="A284" authorId="0" shapeId="0" xr:uid="{00000000-0006-0000-0600-000025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85" authorId="0" shapeId="0" xr:uid="{00000000-0006-0000-0600-000026000000}">
      <text>
        <r>
          <rPr>
            <b/>
            <sz val="8"/>
            <color indexed="81"/>
            <rFont val="Tahoma"/>
            <family val="2"/>
          </rPr>
          <t>Mary Wiencke:</t>
        </r>
        <r>
          <rPr>
            <sz val="8"/>
            <color indexed="81"/>
            <rFont val="Tahoma"/>
            <family val="2"/>
          </rPr>
          <t xml:space="preserve">
Initial allocation plus unpaid rolled from previous year.
</t>
        </r>
      </text>
    </comment>
    <comment ref="A286" authorId="0" shapeId="0" xr:uid="{00000000-0006-0000-0600-000027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87" authorId="0" shapeId="0" xr:uid="{00000000-0006-0000-0600-000028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88" authorId="0" shapeId="0" xr:uid="{00000000-0006-0000-0600-000029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89" authorId="0" shapeId="0" xr:uid="{00000000-0006-0000-0600-00002A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3" authorId="0" shapeId="0" xr:uid="{2F365597-84BC-4F2E-BC56-CEDDABCE6877}">
      <text>
        <r>
          <rPr>
            <b/>
            <sz val="8"/>
            <color indexed="81"/>
            <rFont val="Tahoma"/>
            <family val="2"/>
          </rPr>
          <t xml:space="preserve">Mary Wiencke:  Amount initially allocated to each fund each year.
</t>
        </r>
        <r>
          <rPr>
            <sz val="8"/>
            <color indexed="81"/>
            <rFont val="Tahoma"/>
            <family val="2"/>
          </rPr>
          <t xml:space="preserve">
</t>
        </r>
      </text>
    </comment>
    <comment ref="A4" authorId="0" shapeId="0" xr:uid="{94D728C2-6C80-4340-B193-B9DD9FFEA3E2}">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5" authorId="0" shapeId="0" xr:uid="{5BD081BB-F60D-4ED5-8A6B-DDB6FF2CBF26}">
      <text>
        <r>
          <rPr>
            <b/>
            <sz val="8"/>
            <color indexed="81"/>
            <rFont val="Tahoma"/>
            <family val="2"/>
          </rPr>
          <t>Mary Wiencke:</t>
        </r>
        <r>
          <rPr>
            <sz val="8"/>
            <color indexed="81"/>
            <rFont val="Tahoma"/>
            <family val="2"/>
          </rPr>
          <t xml:space="preserve">
Initial allocation plus unpaid rolled from previous year.
</t>
        </r>
      </text>
    </comment>
    <comment ref="A6" authorId="0" shapeId="0" xr:uid="{E661BDF8-E3D8-4EBB-9A0D-63AECC96A19C}">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 authorId="0" shapeId="0" xr:uid="{C07F892D-D094-40A4-B4DF-49F6D6AEC301}">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 authorId="0" shapeId="0" xr:uid="{96FFDF1E-7450-49D2-9B67-5B9D9176B761}">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 authorId="0" shapeId="0" xr:uid="{8F3110DB-E9AF-42B2-8F4D-984C2B5A6E1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3" authorId="0" shapeId="0" xr:uid="{4E3436F0-0CC2-4417-9089-A2695BC777B8}">
      <text>
        <r>
          <rPr>
            <b/>
            <sz val="8"/>
            <color indexed="81"/>
            <rFont val="Tahoma"/>
            <family val="2"/>
          </rPr>
          <t xml:space="preserve">Mary Wiencke:  Amount initially allocated to each fund each year.
</t>
        </r>
        <r>
          <rPr>
            <sz val="8"/>
            <color indexed="81"/>
            <rFont val="Tahoma"/>
            <family val="2"/>
          </rPr>
          <t xml:space="preserve">
</t>
        </r>
      </text>
    </comment>
    <comment ref="A24" authorId="0" shapeId="0" xr:uid="{0AC7EBEB-9050-4CB3-8058-EEE873428BC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5" authorId="0" shapeId="0" xr:uid="{78234562-09DD-4915-A6AA-2A548B6E5DB1}">
      <text>
        <r>
          <rPr>
            <b/>
            <sz val="8"/>
            <color indexed="81"/>
            <rFont val="Tahoma"/>
            <family val="2"/>
          </rPr>
          <t>Mary Wiencke:</t>
        </r>
        <r>
          <rPr>
            <sz val="8"/>
            <color indexed="81"/>
            <rFont val="Tahoma"/>
            <family val="2"/>
          </rPr>
          <t xml:space="preserve">
Initial allocation plus unpaid rolled from previous year.
</t>
        </r>
      </text>
    </comment>
    <comment ref="A26" authorId="0" shapeId="0" xr:uid="{BFA138D1-8ACB-4AD2-AD4D-94C6630DA524}">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7" authorId="0" shapeId="0" xr:uid="{D4D5E356-F15F-4DC9-BFFC-98DD5A225C5F}">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8" authorId="0" shapeId="0" xr:uid="{DBD139BD-E28F-473C-A790-5E7C32EB3CA3}">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9" authorId="0" shapeId="0" xr:uid="{735E302A-F720-4E6D-8EA8-B13462B0D834}">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43" authorId="0" shapeId="0" xr:uid="{0D0BE4F9-E36A-406B-9C06-DAD0F3077E5E}">
      <text>
        <r>
          <rPr>
            <b/>
            <sz val="8"/>
            <color indexed="81"/>
            <rFont val="Tahoma"/>
            <family val="2"/>
          </rPr>
          <t xml:space="preserve">Mary Wiencke:  Amount initially allocated to each fund each year.
</t>
        </r>
        <r>
          <rPr>
            <sz val="8"/>
            <color indexed="81"/>
            <rFont val="Tahoma"/>
            <family val="2"/>
          </rPr>
          <t xml:space="preserve">
</t>
        </r>
      </text>
    </comment>
    <comment ref="A44" authorId="0" shapeId="0" xr:uid="{1AA8A4B0-8414-476F-A2CD-3566BBB7A6BC}">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45" authorId="0" shapeId="0" xr:uid="{C0C5B6A9-E897-459E-9E12-7B22592FB131}">
      <text>
        <r>
          <rPr>
            <b/>
            <sz val="8"/>
            <color indexed="81"/>
            <rFont val="Tahoma"/>
            <family val="2"/>
          </rPr>
          <t>Mary Wiencke:</t>
        </r>
        <r>
          <rPr>
            <sz val="8"/>
            <color indexed="81"/>
            <rFont val="Tahoma"/>
            <family val="2"/>
          </rPr>
          <t xml:space="preserve">
Initial allocation plus unpaid rolled from previous year.
</t>
        </r>
      </text>
    </comment>
    <comment ref="A46" authorId="0" shapeId="0" xr:uid="{48601794-2F7C-4638-898D-03B57790901A}">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47" authorId="0" shapeId="0" xr:uid="{29A2776F-B639-4FC3-BD65-1AC4C53F9A67}">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8" authorId="0" shapeId="0" xr:uid="{68DC6FC6-93B2-4C08-B77B-273C2B9A785D}">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9" authorId="0" shapeId="0" xr:uid="{2164FB55-F83D-4CA8-81E6-63EF34ED594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63" authorId="0" shapeId="0" xr:uid="{CE63AC83-7EFC-44FB-B8FE-091B1C31A4B8}">
      <text>
        <r>
          <rPr>
            <b/>
            <sz val="8"/>
            <color indexed="81"/>
            <rFont val="Tahoma"/>
            <family val="2"/>
          </rPr>
          <t xml:space="preserve">Mary Wiencke:  Amount initially allocated to each fund each year.
</t>
        </r>
        <r>
          <rPr>
            <sz val="8"/>
            <color indexed="81"/>
            <rFont val="Tahoma"/>
            <family val="2"/>
          </rPr>
          <t xml:space="preserve">
</t>
        </r>
      </text>
    </comment>
    <comment ref="A64" authorId="0" shapeId="0" xr:uid="{B82DEBB9-EE99-47AA-B1FE-FFD71CB926A1}">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5" authorId="0" shapeId="0" xr:uid="{59D9C82D-B78E-4D9F-A908-920BF0001043}">
      <text>
        <r>
          <rPr>
            <b/>
            <sz val="8"/>
            <color indexed="81"/>
            <rFont val="Tahoma"/>
            <family val="2"/>
          </rPr>
          <t>Mary Wiencke:</t>
        </r>
        <r>
          <rPr>
            <sz val="8"/>
            <color indexed="81"/>
            <rFont val="Tahoma"/>
            <family val="2"/>
          </rPr>
          <t xml:space="preserve">
Initial allocation plus unpaid rolled from previous year.
</t>
        </r>
      </text>
    </comment>
    <comment ref="A66" authorId="0" shapeId="0" xr:uid="{D2E01DA6-E415-4FD7-A2C8-ADE2AD3D537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67" authorId="0" shapeId="0" xr:uid="{47E92FFF-A427-4CFA-B5C8-67A313F708E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68" authorId="0" shapeId="0" xr:uid="{52E582B1-13E6-4BD6-9656-147686BC5DA3}">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69" authorId="0" shapeId="0" xr:uid="{3C3C2C1F-7350-4BBC-A17D-8A52BEB62902}">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84" authorId="0" shapeId="0" xr:uid="{00000000-0006-0000-0700-000001000000}">
      <text>
        <r>
          <rPr>
            <b/>
            <sz val="8"/>
            <color indexed="81"/>
            <rFont val="Tahoma"/>
            <family val="2"/>
          </rPr>
          <t xml:space="preserve">Mary Wiencke:  Amount initially allocated to each fund each year.
</t>
        </r>
        <r>
          <rPr>
            <sz val="8"/>
            <color indexed="81"/>
            <rFont val="Tahoma"/>
            <family val="2"/>
          </rPr>
          <t xml:space="preserve">
</t>
        </r>
      </text>
    </comment>
    <comment ref="A85" authorId="0" shapeId="0" xr:uid="{00000000-0006-0000-0700-000002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86" authorId="0" shapeId="0" xr:uid="{00000000-0006-0000-0700-000003000000}">
      <text>
        <r>
          <rPr>
            <b/>
            <sz val="8"/>
            <color indexed="81"/>
            <rFont val="Tahoma"/>
            <family val="2"/>
          </rPr>
          <t>Mary Wiencke:</t>
        </r>
        <r>
          <rPr>
            <sz val="8"/>
            <color indexed="81"/>
            <rFont val="Tahoma"/>
            <family val="2"/>
          </rPr>
          <t xml:space="preserve">
Initial allocation plus unpaid rolled from previous year.
</t>
        </r>
      </text>
    </comment>
    <comment ref="A87" authorId="0" shapeId="0" xr:uid="{00000000-0006-0000-0700-000004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88" authorId="0" shapeId="0" xr:uid="{00000000-0006-0000-0700-000005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9" authorId="0" shapeId="0" xr:uid="{00000000-0006-0000-0700-000006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0" authorId="0" shapeId="0" xr:uid="{00000000-0006-0000-0700-000007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05" authorId="0" shapeId="0" xr:uid="{00000000-0006-0000-0700-000008000000}">
      <text>
        <r>
          <rPr>
            <b/>
            <sz val="8"/>
            <color indexed="81"/>
            <rFont val="Tahoma"/>
            <family val="2"/>
          </rPr>
          <t xml:space="preserve">Mary Wiencke:  Amount initially allocated to each fund each year.
</t>
        </r>
        <r>
          <rPr>
            <sz val="8"/>
            <color indexed="81"/>
            <rFont val="Tahoma"/>
            <family val="2"/>
          </rPr>
          <t xml:space="preserve">
</t>
        </r>
      </text>
    </comment>
    <comment ref="A106" authorId="0" shapeId="0" xr:uid="{00000000-0006-0000-0700-000009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07" authorId="0" shapeId="0" xr:uid="{00000000-0006-0000-0700-00000A000000}">
      <text>
        <r>
          <rPr>
            <b/>
            <sz val="8"/>
            <color indexed="81"/>
            <rFont val="Tahoma"/>
            <family val="2"/>
          </rPr>
          <t>Mary Wiencke:</t>
        </r>
        <r>
          <rPr>
            <sz val="8"/>
            <color indexed="81"/>
            <rFont val="Tahoma"/>
            <family val="2"/>
          </rPr>
          <t xml:space="preserve">
Initial allocation plus unpaid rolled from previous year.
</t>
        </r>
      </text>
    </comment>
    <comment ref="A108" authorId="0" shapeId="0" xr:uid="{00000000-0006-0000-0700-00000B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09" authorId="0" shapeId="0" xr:uid="{00000000-0006-0000-0700-00000C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10" authorId="0" shapeId="0" xr:uid="{00000000-0006-0000-0700-00000D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11" authorId="0" shapeId="0" xr:uid="{00000000-0006-0000-0700-00000E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26" authorId="0" shapeId="0" xr:uid="{00000000-0006-0000-0700-00000F000000}">
      <text>
        <r>
          <rPr>
            <b/>
            <sz val="8"/>
            <color indexed="81"/>
            <rFont val="Tahoma"/>
            <family val="2"/>
          </rPr>
          <t xml:space="preserve">Mary Wiencke:  Amount initially allocated to each fund each year.
</t>
        </r>
        <r>
          <rPr>
            <sz val="8"/>
            <color indexed="81"/>
            <rFont val="Tahoma"/>
            <family val="2"/>
          </rPr>
          <t xml:space="preserve">
</t>
        </r>
      </text>
    </comment>
    <comment ref="A127" authorId="0" shapeId="0" xr:uid="{00000000-0006-0000-0700-000010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28" authorId="0" shapeId="0" xr:uid="{00000000-0006-0000-0700-000011000000}">
      <text>
        <r>
          <rPr>
            <b/>
            <sz val="8"/>
            <color indexed="81"/>
            <rFont val="Tahoma"/>
            <family val="2"/>
          </rPr>
          <t>Mary Wiencke:</t>
        </r>
        <r>
          <rPr>
            <sz val="8"/>
            <color indexed="81"/>
            <rFont val="Tahoma"/>
            <family val="2"/>
          </rPr>
          <t xml:space="preserve">
Initial allocation plus unpaid rolled from previous year.
</t>
        </r>
      </text>
    </comment>
    <comment ref="A129" authorId="0" shapeId="0" xr:uid="{00000000-0006-0000-0700-000012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30" authorId="0" shapeId="0" xr:uid="{00000000-0006-0000-0700-00001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31" authorId="0" shapeId="0" xr:uid="{00000000-0006-0000-0700-000014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32" authorId="0" shapeId="0" xr:uid="{00000000-0006-0000-0700-000015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46" authorId="0" shapeId="0" xr:uid="{00000000-0006-0000-0700-000016000000}">
      <text>
        <r>
          <rPr>
            <b/>
            <sz val="8"/>
            <color indexed="81"/>
            <rFont val="Tahoma"/>
            <family val="2"/>
          </rPr>
          <t xml:space="preserve">Mary Wiencke:  Amount initially allocated to each fund each year.
</t>
        </r>
        <r>
          <rPr>
            <sz val="8"/>
            <color indexed="81"/>
            <rFont val="Tahoma"/>
            <family val="2"/>
          </rPr>
          <t xml:space="preserve">
</t>
        </r>
      </text>
    </comment>
    <comment ref="A147" authorId="0" shapeId="0" xr:uid="{00000000-0006-0000-0700-000017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48" authorId="0" shapeId="0" xr:uid="{00000000-0006-0000-0700-000018000000}">
      <text>
        <r>
          <rPr>
            <b/>
            <sz val="8"/>
            <color indexed="81"/>
            <rFont val="Tahoma"/>
            <family val="2"/>
          </rPr>
          <t>Mary Wiencke:</t>
        </r>
        <r>
          <rPr>
            <sz val="8"/>
            <color indexed="81"/>
            <rFont val="Tahoma"/>
            <family val="2"/>
          </rPr>
          <t xml:space="preserve">
Initial allocation plus unpaid rolled from previous year.
</t>
        </r>
      </text>
    </comment>
    <comment ref="A149" authorId="0" shapeId="0" xr:uid="{00000000-0006-0000-0700-000019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50" authorId="0" shapeId="0" xr:uid="{00000000-0006-0000-0700-00001A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51" authorId="0" shapeId="0" xr:uid="{00000000-0006-0000-0700-00001B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52" authorId="0" shapeId="0" xr:uid="{00000000-0006-0000-0700-00001C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64" authorId="0" shapeId="0" xr:uid="{00000000-0006-0000-0700-00001D000000}">
      <text>
        <r>
          <rPr>
            <b/>
            <sz val="8"/>
            <color indexed="81"/>
            <rFont val="Tahoma"/>
            <family val="2"/>
          </rPr>
          <t xml:space="preserve">Mary Wiencke:  Amount initially allocated to each fund each year.
</t>
        </r>
        <r>
          <rPr>
            <sz val="8"/>
            <color indexed="81"/>
            <rFont val="Tahoma"/>
            <family val="2"/>
          </rPr>
          <t xml:space="preserve">
</t>
        </r>
      </text>
    </comment>
    <comment ref="A165" authorId="0" shapeId="0" xr:uid="{00000000-0006-0000-0700-00001E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66" authorId="0" shapeId="0" xr:uid="{00000000-0006-0000-0700-00001F000000}">
      <text>
        <r>
          <rPr>
            <b/>
            <sz val="8"/>
            <color indexed="81"/>
            <rFont val="Tahoma"/>
            <family val="2"/>
          </rPr>
          <t>Mary Wiencke:</t>
        </r>
        <r>
          <rPr>
            <sz val="8"/>
            <color indexed="81"/>
            <rFont val="Tahoma"/>
            <family val="2"/>
          </rPr>
          <t xml:space="preserve">
Initial allocation plus unpaid rolled from previous year.
</t>
        </r>
      </text>
    </comment>
    <comment ref="A167" authorId="0" shapeId="0" xr:uid="{00000000-0006-0000-0700-000020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68" authorId="0" shapeId="0" xr:uid="{00000000-0006-0000-0700-000021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69" authorId="0" shapeId="0" xr:uid="{00000000-0006-0000-0700-000022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70" authorId="0" shapeId="0" xr:uid="{00000000-0006-0000-0700-000023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96" authorId="0" shapeId="0" xr:uid="{00000000-0006-0000-0700-000024000000}">
      <text>
        <r>
          <rPr>
            <b/>
            <sz val="8"/>
            <color indexed="81"/>
            <rFont val="Tahoma"/>
            <family val="2"/>
          </rPr>
          <t xml:space="preserve">Mary Wiencke:  Amount initially allocated to each fund each year.
</t>
        </r>
        <r>
          <rPr>
            <sz val="8"/>
            <color indexed="81"/>
            <rFont val="Tahoma"/>
            <family val="2"/>
          </rPr>
          <t xml:space="preserve">
</t>
        </r>
      </text>
    </comment>
    <comment ref="A197" authorId="0" shapeId="0" xr:uid="{00000000-0006-0000-0700-000025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98" authorId="0" shapeId="0" xr:uid="{00000000-0006-0000-0700-000026000000}">
      <text>
        <r>
          <rPr>
            <b/>
            <sz val="8"/>
            <color indexed="81"/>
            <rFont val="Tahoma"/>
            <family val="2"/>
          </rPr>
          <t>Mary Wiencke:</t>
        </r>
        <r>
          <rPr>
            <sz val="8"/>
            <color indexed="81"/>
            <rFont val="Tahoma"/>
            <family val="2"/>
          </rPr>
          <t xml:space="preserve">
Initial allocation plus unpaid rolled from previous year.
</t>
        </r>
      </text>
    </comment>
    <comment ref="A199" authorId="0" shapeId="0" xr:uid="{00000000-0006-0000-0700-000027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00" authorId="0" shapeId="0" xr:uid="{00000000-0006-0000-0700-000028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01" authorId="0" shapeId="0" xr:uid="{00000000-0006-0000-0700-000029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02" authorId="0" shapeId="0" xr:uid="{00000000-0006-0000-0700-00002A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18" authorId="0" shapeId="0" xr:uid="{00000000-0006-0000-0700-00002B000000}">
      <text>
        <r>
          <rPr>
            <b/>
            <sz val="8"/>
            <color indexed="81"/>
            <rFont val="Tahoma"/>
            <family val="2"/>
          </rPr>
          <t xml:space="preserve">Mary Wiencke:  Amount initially allocated to each fund each year.
</t>
        </r>
        <r>
          <rPr>
            <sz val="8"/>
            <color indexed="81"/>
            <rFont val="Tahoma"/>
            <family val="2"/>
          </rPr>
          <t xml:space="preserve">
</t>
        </r>
      </text>
    </comment>
    <comment ref="A219" authorId="0" shapeId="0" xr:uid="{00000000-0006-0000-0700-00002C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20" authorId="0" shapeId="0" xr:uid="{00000000-0006-0000-0700-00002D000000}">
      <text>
        <r>
          <rPr>
            <b/>
            <sz val="8"/>
            <color indexed="81"/>
            <rFont val="Tahoma"/>
            <family val="2"/>
          </rPr>
          <t>Mary Wiencke:</t>
        </r>
        <r>
          <rPr>
            <sz val="8"/>
            <color indexed="81"/>
            <rFont val="Tahoma"/>
            <family val="2"/>
          </rPr>
          <t xml:space="preserve">
Initial allocation plus unpaid rolled from previous year.
</t>
        </r>
      </text>
    </comment>
    <comment ref="A221" authorId="0" shapeId="0" xr:uid="{00000000-0006-0000-0700-00002E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22" authorId="0" shapeId="0" xr:uid="{00000000-0006-0000-0700-00002F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23" authorId="0" shapeId="0" xr:uid="{00000000-0006-0000-0700-000030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24" authorId="0" shapeId="0" xr:uid="{00000000-0006-0000-0700-000031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4" authorId="0" shapeId="0" xr:uid="{19A6C276-D58D-41C8-889F-2459D4471444}">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5" authorId="0" shapeId="0" xr:uid="{0885F0F2-0580-4A28-BDB1-7FEC5ECB51A0}">
      <text>
        <r>
          <rPr>
            <b/>
            <sz val="8"/>
            <color indexed="81"/>
            <rFont val="Tahoma"/>
            <family val="2"/>
          </rPr>
          <t>Mary Wiencke:</t>
        </r>
        <r>
          <rPr>
            <sz val="8"/>
            <color indexed="81"/>
            <rFont val="Tahoma"/>
            <family val="2"/>
          </rPr>
          <t xml:space="preserve">
Initial allocation plus unpaid rolled from previous year.
</t>
        </r>
      </text>
    </comment>
    <comment ref="A6" authorId="0" shapeId="0" xr:uid="{34E8791E-4C29-472A-B3FD-9CC0914AE3DD}">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7" authorId="0" shapeId="0" xr:uid="{3C76DE55-1418-4E10-B486-9933570358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 authorId="0" shapeId="0" xr:uid="{2B0EED07-9E96-4FAD-897C-BE5FA438E4AE}">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 authorId="0" shapeId="0" xr:uid="{22FAEC38-D6A0-4CF9-9B83-583D1B98AD4B}">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4" authorId="0" shapeId="0" xr:uid="{65B9B10A-B49A-409C-8F2D-A0D9A90C799D}">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5" authorId="0" shapeId="0" xr:uid="{9A1D9049-68B4-45FE-8C62-32E7319FB22C}">
      <text>
        <r>
          <rPr>
            <b/>
            <sz val="8"/>
            <color indexed="81"/>
            <rFont val="Tahoma"/>
            <family val="2"/>
          </rPr>
          <t>Mary Wiencke:</t>
        </r>
        <r>
          <rPr>
            <sz val="8"/>
            <color indexed="81"/>
            <rFont val="Tahoma"/>
            <family val="2"/>
          </rPr>
          <t xml:space="preserve">
Initial allocation plus unpaid rolled from previous year.
</t>
        </r>
      </text>
    </comment>
    <comment ref="A26" authorId="0" shapeId="0" xr:uid="{251A4ED9-5BD1-4EB0-8980-19982D6C9024}">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7" authorId="0" shapeId="0" xr:uid="{6F917DD2-30DD-4924-A209-D6D96450542E}">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8" authorId="0" shapeId="0" xr:uid="{1F6F33AB-422C-41DC-A50A-9AF306FD3BFF}">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9" authorId="0" shapeId="0" xr:uid="{0F25464B-D268-4F71-B068-B28A4E4DBD04}">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44" authorId="0" shapeId="0" xr:uid="{C8292B99-4212-41BE-8FA0-E7630CB1895D}">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45" authorId="0" shapeId="0" xr:uid="{C4EE35F2-C0B4-40F3-BA48-C8C4A2BE545C}">
      <text>
        <r>
          <rPr>
            <b/>
            <sz val="8"/>
            <color indexed="81"/>
            <rFont val="Tahoma"/>
            <family val="2"/>
          </rPr>
          <t>Mary Wiencke:</t>
        </r>
        <r>
          <rPr>
            <sz val="8"/>
            <color indexed="81"/>
            <rFont val="Tahoma"/>
            <family val="2"/>
          </rPr>
          <t xml:space="preserve">
Initial allocation plus unpaid rolled from previous year.
</t>
        </r>
      </text>
    </comment>
    <comment ref="A46" authorId="0" shapeId="0" xr:uid="{FE9CCBFA-076C-4CBA-8CEE-390E4B9E145C}">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47" authorId="0" shapeId="0" xr:uid="{F1BD9AB8-0158-4625-A9DD-A1F2497C54A6}">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8" authorId="0" shapeId="0" xr:uid="{7D6E278E-ECC0-4B00-B6D0-5C1F7D6BD9A6}">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9" authorId="0" shapeId="0" xr:uid="{C553CAF5-3492-432E-AA67-D8361ECAC8E9}">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65" authorId="0" shapeId="0" xr:uid="{10FDC761-F20B-449B-B276-0617897E730A}">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6" authorId="0" shapeId="0" xr:uid="{88C709EC-4734-4BE2-BA79-FFAC221ED50E}">
      <text>
        <r>
          <rPr>
            <b/>
            <sz val="8"/>
            <color indexed="81"/>
            <rFont val="Tahoma"/>
            <family val="2"/>
          </rPr>
          <t>Mary Wiencke:</t>
        </r>
        <r>
          <rPr>
            <sz val="8"/>
            <color indexed="81"/>
            <rFont val="Tahoma"/>
            <family val="2"/>
          </rPr>
          <t xml:space="preserve">
Initial allocation plus unpaid rolled from previous year.
</t>
        </r>
      </text>
    </comment>
    <comment ref="A67" authorId="0" shapeId="0" xr:uid="{E9C60B51-5804-44A1-83B3-119C782691E6}">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68" authorId="0" shapeId="0" xr:uid="{981064C4-F527-4550-A1FA-7D5F1EB53F6E}">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69" authorId="0" shapeId="0" xr:uid="{B46F7572-3D5F-4646-956E-C1B15DF342FF}">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70" authorId="0" shapeId="0" xr:uid="{4599C717-623F-44B5-A8B9-91CEE183660C}">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87" authorId="0" shapeId="0" xr:uid="{00000000-0006-0000-0900-000001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88" authorId="0" shapeId="0" xr:uid="{00000000-0006-0000-0900-000002000000}">
      <text>
        <r>
          <rPr>
            <b/>
            <sz val="8"/>
            <color indexed="81"/>
            <rFont val="Tahoma"/>
            <family val="2"/>
          </rPr>
          <t>Mary Wiencke:</t>
        </r>
        <r>
          <rPr>
            <sz val="8"/>
            <color indexed="81"/>
            <rFont val="Tahoma"/>
            <family val="2"/>
          </rPr>
          <t xml:space="preserve">
Initial allocation plus unpaid rolled from previous year.
</t>
        </r>
      </text>
    </comment>
    <comment ref="A89" authorId="0" shapeId="0" xr:uid="{00000000-0006-0000-0900-000003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90" authorId="0" shapeId="0" xr:uid="{00000000-0006-0000-0900-000004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91" authorId="0" shapeId="0" xr:uid="{00000000-0006-0000-0900-000005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92" authorId="0" shapeId="0" xr:uid="{00000000-0006-0000-0900-000006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08" authorId="0" shapeId="0" xr:uid="{00000000-0006-0000-0900-000007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09" authorId="0" shapeId="0" xr:uid="{00000000-0006-0000-0900-000008000000}">
      <text>
        <r>
          <rPr>
            <b/>
            <sz val="8"/>
            <color indexed="81"/>
            <rFont val="Tahoma"/>
            <family val="2"/>
          </rPr>
          <t>Mary Wiencke:</t>
        </r>
        <r>
          <rPr>
            <sz val="8"/>
            <color indexed="81"/>
            <rFont val="Tahoma"/>
            <family val="2"/>
          </rPr>
          <t xml:space="preserve">
Initial allocation plus unpaid rolled from previous year.
</t>
        </r>
      </text>
    </comment>
    <comment ref="A110" authorId="0" shapeId="0" xr:uid="{00000000-0006-0000-0900-000009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11" authorId="0" shapeId="0" xr:uid="{00000000-0006-0000-0900-00000A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12" authorId="0" shapeId="0" xr:uid="{00000000-0006-0000-0900-00000B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13" authorId="0" shapeId="0" xr:uid="{00000000-0006-0000-0900-00000C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29" authorId="0" shapeId="0" xr:uid="{00000000-0006-0000-0900-00000D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30" authorId="0" shapeId="0" xr:uid="{00000000-0006-0000-0900-00000E000000}">
      <text>
        <r>
          <rPr>
            <b/>
            <sz val="8"/>
            <color indexed="81"/>
            <rFont val="Tahoma"/>
            <family val="2"/>
          </rPr>
          <t>Mary Wiencke:</t>
        </r>
        <r>
          <rPr>
            <sz val="8"/>
            <color indexed="81"/>
            <rFont val="Tahoma"/>
            <family val="2"/>
          </rPr>
          <t xml:space="preserve">
Initial allocation plus unpaid rolled from previous year.
</t>
        </r>
      </text>
    </comment>
    <comment ref="A131" authorId="0" shapeId="0" xr:uid="{00000000-0006-0000-0900-00000F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32" authorId="0" shapeId="0" xr:uid="{00000000-0006-0000-0900-000010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33" authorId="0" shapeId="0" xr:uid="{00000000-0006-0000-0900-000011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34" authorId="0" shapeId="0" xr:uid="{00000000-0006-0000-0900-000012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50" authorId="0" shapeId="0" xr:uid="{00000000-0006-0000-0900-000013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51" authorId="0" shapeId="0" xr:uid="{00000000-0006-0000-0900-000014000000}">
      <text>
        <r>
          <rPr>
            <b/>
            <sz val="8"/>
            <color indexed="81"/>
            <rFont val="Tahoma"/>
            <family val="2"/>
          </rPr>
          <t>Mary Wiencke:</t>
        </r>
        <r>
          <rPr>
            <sz val="8"/>
            <color indexed="81"/>
            <rFont val="Tahoma"/>
            <family val="2"/>
          </rPr>
          <t xml:space="preserve">
Initial allocation plus unpaid rolled from previous year.
</t>
        </r>
      </text>
    </comment>
    <comment ref="A152" authorId="0" shapeId="0" xr:uid="{00000000-0006-0000-0900-000015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53" authorId="0" shapeId="0" xr:uid="{00000000-0006-0000-0900-000016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54" authorId="0" shapeId="0" xr:uid="{00000000-0006-0000-0900-000017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55" authorId="0" shapeId="0" xr:uid="{00000000-0006-0000-0900-000018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71" authorId="0" shapeId="0" xr:uid="{00000000-0006-0000-0900-000019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72" authorId="0" shapeId="0" xr:uid="{00000000-0006-0000-0900-00001A000000}">
      <text>
        <r>
          <rPr>
            <b/>
            <sz val="8"/>
            <color indexed="81"/>
            <rFont val="Tahoma"/>
            <family val="2"/>
          </rPr>
          <t>Mary Wiencke:</t>
        </r>
        <r>
          <rPr>
            <sz val="8"/>
            <color indexed="81"/>
            <rFont val="Tahoma"/>
            <family val="2"/>
          </rPr>
          <t xml:space="preserve">
Initial allocation plus unpaid rolled from previous year.
</t>
        </r>
      </text>
    </comment>
    <comment ref="A173" authorId="0" shapeId="0" xr:uid="{00000000-0006-0000-0900-00001B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74" authorId="0" shapeId="0" xr:uid="{00000000-0006-0000-0900-00001C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75" authorId="0" shapeId="0" xr:uid="{00000000-0006-0000-0900-00001D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76" authorId="0" shapeId="0" xr:uid="{00000000-0006-0000-0900-00001E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92" authorId="0" shapeId="0" xr:uid="{00000000-0006-0000-0900-00001F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93" authorId="0" shapeId="0" xr:uid="{00000000-0006-0000-0900-000020000000}">
      <text>
        <r>
          <rPr>
            <b/>
            <sz val="8"/>
            <color indexed="81"/>
            <rFont val="Tahoma"/>
            <family val="2"/>
          </rPr>
          <t>Mary Wiencke:</t>
        </r>
        <r>
          <rPr>
            <sz val="8"/>
            <color indexed="81"/>
            <rFont val="Tahoma"/>
            <family val="2"/>
          </rPr>
          <t xml:space="preserve">
Initial allocation plus unpaid rolled from previous year.
</t>
        </r>
      </text>
    </comment>
    <comment ref="A194" authorId="0" shapeId="0" xr:uid="{00000000-0006-0000-0900-000021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95" authorId="0" shapeId="0" xr:uid="{00000000-0006-0000-0900-000022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96" authorId="0" shapeId="0" xr:uid="{00000000-0006-0000-0900-000023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97" authorId="0" shapeId="0" xr:uid="{00000000-0006-0000-0900-000024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212" authorId="0" shapeId="0" xr:uid="{00000000-0006-0000-0900-000025000000}">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213" authorId="0" shapeId="0" xr:uid="{00000000-0006-0000-0900-000026000000}">
      <text>
        <r>
          <rPr>
            <b/>
            <sz val="8"/>
            <color indexed="81"/>
            <rFont val="Tahoma"/>
            <family val="2"/>
          </rPr>
          <t>Mary Wiencke:</t>
        </r>
        <r>
          <rPr>
            <sz val="8"/>
            <color indexed="81"/>
            <rFont val="Tahoma"/>
            <family val="2"/>
          </rPr>
          <t xml:space="preserve">
Initial allocation plus unpaid rolled from previous year.
</t>
        </r>
      </text>
    </comment>
    <comment ref="A214" authorId="0" shapeId="0" xr:uid="{00000000-0006-0000-0900-000027000000}">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215" authorId="0" shapeId="0" xr:uid="{00000000-0006-0000-0900-000028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216" authorId="0" shapeId="0" xr:uid="{00000000-0006-0000-0900-000029000000}">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217" authorId="0" shapeId="0" xr:uid="{00000000-0006-0000-0900-00002A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Mary Wienche</author>
    <author>tc={FCCC44E9-E7CF-4517-8D45-E255CEBFEF88}</author>
  </authors>
  <commentList>
    <comment ref="A4" authorId="0" shapeId="0" xr:uid="{C3168250-34A4-4B69-A2BB-ADA430FAE818}">
      <text>
        <r>
          <rPr>
            <b/>
            <sz val="8"/>
            <color indexed="81"/>
            <rFont val="Tahoma"/>
            <family val="2"/>
          </rPr>
          <t xml:space="preserve">Mary Wiencke:  Amount initially allocated to each fund each year.
</t>
        </r>
        <r>
          <rPr>
            <sz val="8"/>
            <color indexed="81"/>
            <rFont val="Tahoma"/>
            <family val="2"/>
          </rPr>
          <t xml:space="preserve">
</t>
        </r>
      </text>
    </comment>
    <comment ref="A5" authorId="0" shapeId="0" xr:uid="{D4D4EF2D-9045-4F24-BE27-A9B4E56770FE}">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6" authorId="0" shapeId="0" xr:uid="{C0642209-2892-4A37-91A0-C50001A2E0E2}">
      <text>
        <r>
          <rPr>
            <b/>
            <sz val="8"/>
            <color indexed="81"/>
            <rFont val="Tahoma"/>
            <family val="2"/>
          </rPr>
          <t>Mary Wiencke:</t>
        </r>
        <r>
          <rPr>
            <sz val="8"/>
            <color indexed="81"/>
            <rFont val="Tahoma"/>
            <family val="2"/>
          </rPr>
          <t xml:space="preserve">
Initial allocation plus unpaid rolled from previous year.
</t>
        </r>
      </text>
    </comment>
    <comment ref="A7" authorId="0" shapeId="0" xr:uid="{43FFF707-1959-4303-A1CE-B1E988916439}">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8" authorId="0" shapeId="0" xr:uid="{2E2F6A99-126F-49C3-AD7F-DBD8D3AAB7CE}">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9" authorId="0" shapeId="0" xr:uid="{0530A607-858B-4F41-B277-6CBC779FB14B}">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0" authorId="0" shapeId="0" xr:uid="{387C4260-24F3-4391-B93E-529E1893603F}">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39" authorId="0" shapeId="0" xr:uid="{4A2C9971-23A4-49FA-9668-48CE8506442A}">
      <text>
        <r>
          <rPr>
            <b/>
            <sz val="8"/>
            <color indexed="81"/>
            <rFont val="Tahoma"/>
            <family val="2"/>
          </rPr>
          <t xml:space="preserve">Mary Wiencke:  Amount initially allocated to each fund each year.
</t>
        </r>
        <r>
          <rPr>
            <sz val="8"/>
            <color indexed="81"/>
            <rFont val="Tahoma"/>
            <family val="2"/>
          </rPr>
          <t xml:space="preserve">
</t>
        </r>
      </text>
    </comment>
    <comment ref="A40" authorId="0" shapeId="0" xr:uid="{B47C5E99-AE9C-4B3E-B723-B9377A76E23A}">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41" authorId="0" shapeId="0" xr:uid="{6F2DBDBA-4C6A-4F5B-8D5C-A24000A011E2}">
      <text>
        <r>
          <rPr>
            <b/>
            <sz val="8"/>
            <color indexed="81"/>
            <rFont val="Tahoma"/>
            <family val="2"/>
          </rPr>
          <t>Mary Wiencke:</t>
        </r>
        <r>
          <rPr>
            <sz val="8"/>
            <color indexed="81"/>
            <rFont val="Tahoma"/>
            <family val="2"/>
          </rPr>
          <t xml:space="preserve">
Initial allocation plus unpaid rolled from previous year.
</t>
        </r>
      </text>
    </comment>
    <comment ref="A42" authorId="0" shapeId="0" xr:uid="{29DC7FCB-4D42-4878-9DDC-AD38BF8FAC78}">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43" authorId="0" shapeId="0" xr:uid="{9CB8938D-5158-40C8-B82C-D65697E61527}">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44" authorId="0" shapeId="0" xr:uid="{A8383698-C5D4-4E0F-AD40-D7A1B88E3453}">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45" authorId="0" shapeId="0" xr:uid="{D47019E1-7040-40D9-9585-680DA8EC40E2}">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B73" authorId="1" shapeId="0" xr:uid="{FCCC44E9-E7CF-4517-8D45-E255CEBFEF88}">
      <text>
        <t xml:space="preserve">[Threaded comment]
Your version of Excel allows you to read this threaded comment; however, any edits to it will get removed if the file is opened in a newer version of Excel. Learn more: https://go.microsoft.com/fwlink/?linkid=870924
Comment:
    um2345huc335464115.pdf  Funding Update from CRITFC
</t>
      </text>
    </comment>
    <comment ref="A78" authorId="0" shapeId="0" xr:uid="{62E4AD8A-43FF-4E4A-8359-45C5CABC55C1}">
      <text>
        <r>
          <rPr>
            <b/>
            <sz val="8"/>
            <color indexed="81"/>
            <rFont val="Tahoma"/>
            <family val="2"/>
          </rPr>
          <t xml:space="preserve">Mary Wiencke:  Amount initially allocated to each fund each year.
</t>
        </r>
        <r>
          <rPr>
            <sz val="8"/>
            <color indexed="81"/>
            <rFont val="Tahoma"/>
            <family val="2"/>
          </rPr>
          <t xml:space="preserve">
</t>
        </r>
      </text>
    </comment>
    <comment ref="A79" authorId="0" shapeId="0" xr:uid="{F01DCC3E-5B59-4CE7-A4A8-ACD3A02648AA}">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80" authorId="0" shapeId="0" xr:uid="{944891F7-DBDA-460F-9AC7-9651ECC20E17}">
      <text>
        <r>
          <rPr>
            <b/>
            <sz val="8"/>
            <color indexed="81"/>
            <rFont val="Tahoma"/>
            <family val="2"/>
          </rPr>
          <t>Mary Wiencke:</t>
        </r>
        <r>
          <rPr>
            <sz val="8"/>
            <color indexed="81"/>
            <rFont val="Tahoma"/>
            <family val="2"/>
          </rPr>
          <t xml:space="preserve">
Initial allocation plus unpaid rolled from previous year.
</t>
        </r>
      </text>
    </comment>
    <comment ref="A81" authorId="0" shapeId="0" xr:uid="{B4BDF734-F4C6-4899-8C29-66400196E943}">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82" authorId="0" shapeId="0" xr:uid="{8884F028-E25D-47AC-8FB4-958E1488274E}">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83" authorId="0" shapeId="0" xr:uid="{D67C369E-C032-4CE5-9DC3-1D432746B4E1}">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84" authorId="0" shapeId="0" xr:uid="{E59FB85E-3D48-452B-AB0C-0AD031939B39}">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 ref="A109" authorId="0" shapeId="0" xr:uid="{0D71E41E-A253-419E-A1EC-965CE4723246}">
      <text>
        <r>
          <rPr>
            <b/>
            <sz val="8"/>
            <color indexed="81"/>
            <rFont val="Tahoma"/>
            <family val="2"/>
          </rPr>
          <t xml:space="preserve">Mary Wiencke:  Amount initially allocated to each fund each year.
</t>
        </r>
        <r>
          <rPr>
            <sz val="8"/>
            <color indexed="81"/>
            <rFont val="Tahoma"/>
            <family val="2"/>
          </rPr>
          <t xml:space="preserve">
</t>
        </r>
      </text>
    </comment>
    <comment ref="A110" authorId="0" shapeId="0" xr:uid="{474154B2-B98D-423D-B057-8838A6FEA41A}">
      <text>
        <r>
          <rPr>
            <b/>
            <sz val="8"/>
            <color indexed="81"/>
            <rFont val="Tahoma"/>
            <family val="2"/>
          </rPr>
          <t xml:space="preserve">Mary Wiencke:
Unpaid balance rolled from previous year.  (max = initial allocation amount)
</t>
        </r>
        <r>
          <rPr>
            <sz val="8"/>
            <color indexed="81"/>
            <rFont val="Tahoma"/>
            <family val="2"/>
          </rPr>
          <t xml:space="preserve">
</t>
        </r>
      </text>
    </comment>
    <comment ref="A111" authorId="0" shapeId="0" xr:uid="{4C24CEA1-1F85-4852-98FB-FE0C9D8B940B}">
      <text>
        <r>
          <rPr>
            <b/>
            <sz val="8"/>
            <color indexed="81"/>
            <rFont val="Tahoma"/>
            <family val="2"/>
          </rPr>
          <t>Mary Wiencke:</t>
        </r>
        <r>
          <rPr>
            <sz val="8"/>
            <color indexed="81"/>
            <rFont val="Tahoma"/>
            <family val="2"/>
          </rPr>
          <t xml:space="preserve">
Initial allocation plus unpaid rolled from previous year.
</t>
        </r>
      </text>
    </comment>
    <comment ref="A112" authorId="0" shapeId="0" xr:uid="{71B125B4-7290-457B-B6DE-FCDABE951496}">
      <text>
        <r>
          <rPr>
            <b/>
            <sz val="8"/>
            <color indexed="81"/>
            <rFont val="Tahoma"/>
            <family val="2"/>
          </rPr>
          <t>Mary Wiencke:  amount rolled from previous year, minus amount committed but not paid from previous year(s).</t>
        </r>
        <r>
          <rPr>
            <sz val="8"/>
            <color indexed="81"/>
            <rFont val="Tahoma"/>
            <family val="2"/>
          </rPr>
          <t xml:space="preserve">
</t>
        </r>
      </text>
    </comment>
    <comment ref="A113" authorId="0" shapeId="0" xr:uid="{EB24DA2A-71A2-4DE1-A663-C6972379E839}">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114" authorId="0" shapeId="0" xr:uid="{9BB6716B-67CC-402C-8B2B-496D20F05D4E}">
      <text>
        <r>
          <rPr>
            <b/>
            <sz val="8"/>
            <color indexed="81"/>
            <rFont val="Tahoma"/>
            <family val="2"/>
          </rPr>
          <t>Mary Wiencke:</t>
        </r>
        <r>
          <rPr>
            <sz val="8"/>
            <color indexed="81"/>
            <rFont val="Tahoma"/>
            <family val="2"/>
          </rPr>
          <t xml:space="preserve">
Initial allocation plus amount rolled over from previous year, minus amount paid this year.</t>
        </r>
      </text>
    </comment>
    <comment ref="A115" authorId="0" shapeId="0" xr:uid="{2560B91A-3403-4594-98A6-87BA8C07A2DE}">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Mary Wienche</author>
  </authors>
  <commentList>
    <comment ref="A4" authorId="0" shapeId="0" xr:uid="{00000000-0006-0000-0A00-000001000000}">
      <text>
        <r>
          <rPr>
            <b/>
            <sz val="8"/>
            <color indexed="81"/>
            <rFont val="Tahoma"/>
            <family val="2"/>
          </rPr>
          <t xml:space="preserve">Mary Wiencke:  Amount initially allocated to each fund each year.
</t>
        </r>
        <r>
          <rPr>
            <sz val="8"/>
            <color indexed="81"/>
            <rFont val="Tahoma"/>
            <family val="2"/>
          </rPr>
          <t xml:space="preserve">
</t>
        </r>
      </text>
    </comment>
    <comment ref="A5" authorId="0" shapeId="0" xr:uid="{00000000-0006-0000-0A00-000002000000}">
      <text>
        <r>
          <rPr>
            <b/>
            <sz val="8"/>
            <color indexed="81"/>
            <rFont val="Tahoma"/>
            <family val="2"/>
          </rPr>
          <t>Mary Wiencke:</t>
        </r>
        <r>
          <rPr>
            <sz val="8"/>
            <color indexed="81"/>
            <rFont val="Tahoma"/>
            <family val="2"/>
          </rPr>
          <t xml:space="preserve">
Initial allocation plus unpaid rolled from previous year.
</t>
        </r>
      </text>
    </comment>
    <comment ref="A6" authorId="0" shapeId="0" xr:uid="{00000000-0006-0000-0A00-000003000000}">
      <text>
        <r>
          <rPr>
            <b/>
            <sz val="8"/>
            <color indexed="81"/>
            <rFont val="Tahoma"/>
            <family val="2"/>
          </rPr>
          <t>Mary Wienche:</t>
        </r>
        <r>
          <rPr>
            <sz val="8"/>
            <color indexed="81"/>
            <rFont val="Tahoma"/>
            <family val="2"/>
          </rPr>
          <t xml:space="preserve">
intial allocation plus amount rolled from previous year, minus amount committed not paid from previous year(s).  
</t>
        </r>
      </text>
    </comment>
    <comment ref="A7" authorId="0" shapeId="0" xr:uid="{00000000-0006-0000-0A00-000004000000}">
      <text>
        <r>
          <rPr>
            <b/>
            <sz val="8"/>
            <color indexed="81"/>
            <rFont val="Tahoma"/>
            <family val="2"/>
          </rPr>
          <t>Mary Wiencke:  Initial allocation plus amount rolled from previous year minus amount paid this year, minus amount committed from previous year(s) but not paid, and minus amount committed this year but not paid.</t>
        </r>
        <r>
          <rPr>
            <sz val="8"/>
            <color indexed="81"/>
            <rFont val="Tahoma"/>
            <family val="2"/>
          </rPr>
          <t xml:space="preserve">
</t>
        </r>
      </text>
    </comment>
  </commentList>
</comments>
</file>

<file path=xl/sharedStrings.xml><?xml version="1.0" encoding="utf-8"?>
<sst xmlns="http://schemas.openxmlformats.org/spreadsheetml/2006/main" count="4932" uniqueCount="1288">
  <si>
    <t>Intervenor Funding: Certifications and Deferrals</t>
  </si>
  <si>
    <t>Party Requesting</t>
  </si>
  <si>
    <t>Order No.</t>
  </si>
  <si>
    <t>Order Date</t>
  </si>
  <si>
    <t>Docket No.</t>
  </si>
  <si>
    <t>Notes</t>
  </si>
  <si>
    <t>Precertification</t>
  </si>
  <si>
    <t>Case Certification</t>
  </si>
  <si>
    <t>Deferrals</t>
  </si>
  <si>
    <t>Year</t>
  </si>
  <si>
    <t>CUB</t>
  </si>
  <si>
    <t>ICNU</t>
  </si>
  <si>
    <t>03-502</t>
  </si>
  <si>
    <t>UM 1095</t>
  </si>
  <si>
    <t>NWN</t>
  </si>
  <si>
    <t>03-559</t>
  </si>
  <si>
    <t>UM 1101</t>
  </si>
  <si>
    <t>All funds</t>
  </si>
  <si>
    <t>NWIGU</t>
  </si>
  <si>
    <t>04-055</t>
  </si>
  <si>
    <t>UM 1127</t>
  </si>
  <si>
    <t>Approved</t>
  </si>
  <si>
    <t>AOI</t>
  </si>
  <si>
    <t>04-303</t>
  </si>
  <si>
    <t>UM 1121</t>
  </si>
  <si>
    <t>NW Energy Coalition</t>
  </si>
  <si>
    <t>04-676</t>
  </si>
  <si>
    <t>UM 1169</t>
  </si>
  <si>
    <t>Denied</t>
  </si>
  <si>
    <t>UM 1050</t>
  </si>
  <si>
    <t>IFA</t>
  </si>
  <si>
    <t>UE 170</t>
  </si>
  <si>
    <t>KWUA/KOPWU</t>
  </si>
  <si>
    <t>05-134</t>
  </si>
  <si>
    <t xml:space="preserve">Party </t>
  </si>
  <si>
    <t>Uncommitted Balance</t>
  </si>
  <si>
    <t>Rollover Balance</t>
  </si>
  <si>
    <t>Payment Amount</t>
  </si>
  <si>
    <t xml:space="preserve">Docket No. </t>
  </si>
  <si>
    <t>Current Balance</t>
  </si>
  <si>
    <t>Payment Order No.</t>
  </si>
  <si>
    <t>Fund</t>
  </si>
  <si>
    <t>Issue</t>
  </si>
  <si>
    <t>TOTAL</t>
  </si>
  <si>
    <t xml:space="preserve">Matching </t>
  </si>
  <si>
    <t>Total Uncommitted</t>
  </si>
  <si>
    <t>Payment Pending</t>
  </si>
  <si>
    <t>Uncommitted Rollover</t>
  </si>
  <si>
    <t>Pending Payment</t>
  </si>
  <si>
    <t>UE 180/181</t>
  </si>
  <si>
    <t>06-264</t>
  </si>
  <si>
    <t>UE 179</t>
  </si>
  <si>
    <t>PGE</t>
  </si>
  <si>
    <t>PacifiCorp</t>
  </si>
  <si>
    <t>Matching</t>
  </si>
  <si>
    <t>Cascade</t>
  </si>
  <si>
    <t>Avista</t>
  </si>
  <si>
    <t>Annual Grant</t>
  </si>
  <si>
    <t>Cash Rollover</t>
  </si>
  <si>
    <t>Total Cash Budget</t>
  </si>
  <si>
    <t>Total Available Balance</t>
  </si>
  <si>
    <t>Committed Funds</t>
  </si>
  <si>
    <t>Intervenor Funds Summary 2008</t>
  </si>
  <si>
    <t>Date of Request or Budget Order No.</t>
  </si>
  <si>
    <t>Budget/ Request Amount</t>
  </si>
  <si>
    <t>Paid 2008</t>
  </si>
  <si>
    <t>Remainder Released</t>
  </si>
  <si>
    <t>Release remainder</t>
  </si>
  <si>
    <t>League of OR Cities</t>
  </si>
  <si>
    <t>06-267</t>
  </si>
  <si>
    <t>KWUA/Klamath Off-Project Water Users (KOPWU)</t>
  </si>
  <si>
    <t>UE 171</t>
  </si>
  <si>
    <t>UM 1103</t>
  </si>
  <si>
    <t>03-561</t>
  </si>
  <si>
    <t>PACIFIC</t>
  </si>
  <si>
    <t>03-560</t>
  </si>
  <si>
    <t>UM 1102</t>
  </si>
  <si>
    <t>CASCADE</t>
  </si>
  <si>
    <t>AVISTA</t>
  </si>
  <si>
    <t>UM 1356</t>
  </si>
  <si>
    <t>08-015</t>
  </si>
  <si>
    <t>UM 1336</t>
  </si>
  <si>
    <t>07-397</t>
  </si>
  <si>
    <t>UE 197</t>
  </si>
  <si>
    <t>Remainder released</t>
  </si>
  <si>
    <t>Docket No</t>
  </si>
  <si>
    <t>Approved Budget</t>
  </si>
  <si>
    <t>Amount Utilized</t>
  </si>
  <si>
    <t>Total</t>
  </si>
  <si>
    <t>08-328</t>
  </si>
  <si>
    <t>Final Payment</t>
  </si>
  <si>
    <t>Progress payment</t>
  </si>
  <si>
    <t>Final payment</t>
  </si>
  <si>
    <t>Partial payment</t>
  </si>
  <si>
    <t>UE 210</t>
  </si>
  <si>
    <t>Klamath Water Users Association (KWUA)</t>
  </si>
  <si>
    <t>09-173</t>
  </si>
  <si>
    <t>Amount Utilitized</t>
  </si>
  <si>
    <t xml:space="preserve">Final </t>
  </si>
  <si>
    <t>Release Remainder</t>
  </si>
  <si>
    <t>Final</t>
  </si>
  <si>
    <t>Idaho Power</t>
  </si>
  <si>
    <t>CUB MSP</t>
  </si>
  <si>
    <t>ICNU MSP</t>
  </si>
  <si>
    <t>PacifiCorp MSP</t>
  </si>
  <si>
    <t>UM 1635</t>
  </si>
  <si>
    <t>UM 1633</t>
  </si>
  <si>
    <t>Annual Grant plus rollover</t>
  </si>
  <si>
    <t>Annual Grant plus uncommitted rollover</t>
  </si>
  <si>
    <t>Total budget minus payments made</t>
  </si>
  <si>
    <t>Total Uncommitted minus payments made, minus payments pending</t>
  </si>
  <si>
    <t>Progress Payment</t>
  </si>
  <si>
    <t>UM 1654</t>
  </si>
  <si>
    <t xml:space="preserve"> </t>
  </si>
  <si>
    <t>UG 284</t>
  </si>
  <si>
    <t>14-363</t>
  </si>
  <si>
    <t>LC 60</t>
  </si>
  <si>
    <t>PGE 2015</t>
  </si>
  <si>
    <t>CUB 2015</t>
  </si>
  <si>
    <t>Matching 2015</t>
  </si>
  <si>
    <t>Issue 2015</t>
  </si>
  <si>
    <t>Total 2015 Budget</t>
  </si>
  <si>
    <t>Total 2015 Uncommitted</t>
  </si>
  <si>
    <t>PacifiCorp 2015</t>
  </si>
  <si>
    <t>2015 Annual Grant</t>
  </si>
  <si>
    <t>NWN 2015</t>
  </si>
  <si>
    <t>CASCADE 2015</t>
  </si>
  <si>
    <t>AVISTA 2015</t>
  </si>
  <si>
    <t>IDAHO POWER 2015</t>
  </si>
  <si>
    <t>PacifiCorp MSP 2015</t>
  </si>
  <si>
    <t>CUB MSP 2015</t>
  </si>
  <si>
    <t>ICNU MSP 2015</t>
  </si>
  <si>
    <t>Current Available</t>
  </si>
  <si>
    <t>2015 Uncommitted Budget</t>
  </si>
  <si>
    <t>Progress</t>
  </si>
  <si>
    <t>UM 1662</t>
  </si>
  <si>
    <t>UM 1357(53)</t>
  </si>
  <si>
    <t>UM 1504 (6)</t>
  </si>
  <si>
    <t>UM 1586(7)</t>
  </si>
  <si>
    <t>15-002</t>
  </si>
  <si>
    <t>15-003</t>
  </si>
  <si>
    <t>15-013</t>
  </si>
  <si>
    <t>UM 1712</t>
  </si>
  <si>
    <t>15-037</t>
  </si>
  <si>
    <t>UM 1586(8)</t>
  </si>
  <si>
    <t>15-047</t>
  </si>
  <si>
    <t>15-051</t>
  </si>
  <si>
    <t>UM 1663</t>
  </si>
  <si>
    <t>15-061</t>
  </si>
  <si>
    <t>14-388</t>
  </si>
  <si>
    <t>UE 294</t>
  </si>
  <si>
    <t>UM 1713</t>
  </si>
  <si>
    <t>15-097</t>
  </si>
  <si>
    <t>15-098</t>
  </si>
  <si>
    <t>15-099</t>
  </si>
  <si>
    <t>15-113</t>
  </si>
  <si>
    <t>UM 1717</t>
  </si>
  <si>
    <t>15-131</t>
  </si>
  <si>
    <t>Released Rmdr</t>
  </si>
  <si>
    <t>CUB Released Remainder</t>
  </si>
  <si>
    <t>15-171</t>
  </si>
  <si>
    <t>15-170</t>
  </si>
  <si>
    <t>UE 296</t>
  </si>
  <si>
    <t>LC 62</t>
  </si>
  <si>
    <t>15-172</t>
  </si>
  <si>
    <t>15-175</t>
  </si>
  <si>
    <t>15-176</t>
  </si>
  <si>
    <t>15-189</t>
  </si>
  <si>
    <t>15-177*</t>
  </si>
  <si>
    <r>
      <t>*</t>
    </r>
    <r>
      <rPr>
        <sz val="8"/>
        <rFont val="Arial"/>
        <family val="2"/>
      </rPr>
      <t>Docket Number corrected in Order 15-194</t>
    </r>
  </si>
  <si>
    <t>15-198</t>
  </si>
  <si>
    <t>UG 287</t>
  </si>
  <si>
    <t>15-197</t>
  </si>
  <si>
    <t>15-231</t>
  </si>
  <si>
    <t>LC 63</t>
  </si>
  <si>
    <t>15-001</t>
  </si>
  <si>
    <t>15-238</t>
  </si>
  <si>
    <t>15-240</t>
  </si>
  <si>
    <t>UM 1744</t>
  </si>
  <si>
    <t>15-257</t>
  </si>
  <si>
    <t>15-256</t>
  </si>
  <si>
    <t>15-255</t>
  </si>
  <si>
    <t>15-254</t>
  </si>
  <si>
    <t>15-252</t>
  </si>
  <si>
    <t>15-277</t>
  </si>
  <si>
    <t>15-278</t>
  </si>
  <si>
    <t>15-279</t>
  </si>
  <si>
    <t>15-302</t>
  </si>
  <si>
    <t>Partial</t>
  </si>
  <si>
    <t>Partial Payment</t>
  </si>
  <si>
    <t>15-312</t>
  </si>
  <si>
    <t>See 3rd IFA, Order #15-335</t>
  </si>
  <si>
    <t>15-316</t>
  </si>
  <si>
    <t>UM 1719</t>
  </si>
  <si>
    <t>15-253/15-377</t>
  </si>
  <si>
    <t>15-378</t>
  </si>
  <si>
    <t>15-375</t>
  </si>
  <si>
    <t>15-374</t>
  </si>
  <si>
    <t>UM 1586(8) final</t>
  </si>
  <si>
    <t>15-373</t>
  </si>
  <si>
    <t>UG 288</t>
  </si>
  <si>
    <t>$25,000 from 2016</t>
  </si>
  <si>
    <t>15-381</t>
  </si>
  <si>
    <t>15-390</t>
  </si>
  <si>
    <t>$25,000 from 2016; Pd $19800 from 2015 with $20451 from 2016</t>
  </si>
  <si>
    <t>15-391</t>
  </si>
  <si>
    <t>15-392</t>
  </si>
  <si>
    <t>PGE 2016</t>
  </si>
  <si>
    <t>CUB 2016</t>
  </si>
  <si>
    <t>Matching 2016</t>
  </si>
  <si>
    <t>Issue 2016</t>
  </si>
  <si>
    <t>Total 2016 Budget</t>
  </si>
  <si>
    <t>2016 Uncommitted Budget</t>
  </si>
  <si>
    <t>PacifiCorp 2016</t>
  </si>
  <si>
    <t>2016 Annual Grant</t>
  </si>
  <si>
    <t>NWN 2016</t>
  </si>
  <si>
    <t>CASCADE 2016</t>
  </si>
  <si>
    <t>AVISTA 2016</t>
  </si>
  <si>
    <t>$22,000 from 2015</t>
  </si>
  <si>
    <t>IDAHO POWER 2016</t>
  </si>
  <si>
    <t>PacifiCorp MSP 2016</t>
  </si>
  <si>
    <t>CUB MSP 2016</t>
  </si>
  <si>
    <t>ICNU MSP 2016</t>
  </si>
  <si>
    <t>Total 2016 Uncommitted</t>
  </si>
  <si>
    <t>UM 1586(  )</t>
  </si>
  <si>
    <t>UM  1722</t>
  </si>
  <si>
    <t>UM 1722</t>
  </si>
  <si>
    <t>16-004</t>
  </si>
  <si>
    <t>UM 1357(59)</t>
  </si>
  <si>
    <t>16-001</t>
  </si>
  <si>
    <t>16-003</t>
  </si>
  <si>
    <t>UM 1755</t>
  </si>
  <si>
    <t>UM 1754</t>
  </si>
  <si>
    <t>16-030</t>
  </si>
  <si>
    <t>16-031</t>
  </si>
  <si>
    <t>16-032</t>
  </si>
  <si>
    <t>16-043</t>
  </si>
  <si>
    <t>UM 1757 (1)</t>
  </si>
  <si>
    <t>UM 1357(60)</t>
  </si>
  <si>
    <t>UM 1357 (61)</t>
  </si>
  <si>
    <t>UM 1623</t>
  </si>
  <si>
    <t>16-058</t>
  </si>
  <si>
    <t>16-059</t>
  </si>
  <si>
    <t>$19,800 from 2015; Pd $19800 from 2015 with $25000 from 2016</t>
  </si>
  <si>
    <t>16-060</t>
  </si>
  <si>
    <t>UE 301</t>
  </si>
  <si>
    <t>UM 1720</t>
  </si>
  <si>
    <t>UM 1716</t>
  </si>
  <si>
    <t>16-077</t>
  </si>
  <si>
    <t>16-078</t>
  </si>
  <si>
    <t>16-079</t>
  </si>
  <si>
    <t>16-081</t>
  </si>
  <si>
    <t>16-084</t>
  </si>
  <si>
    <t>16-082</t>
  </si>
  <si>
    <t>16-083</t>
  </si>
  <si>
    <t>UM 1357(62)</t>
  </si>
  <si>
    <t>UM 1357(63)</t>
  </si>
  <si>
    <t>UM 1357(64)</t>
  </si>
  <si>
    <t>16-092</t>
  </si>
  <si>
    <t>16-104</t>
  </si>
  <si>
    <t>16-108</t>
  </si>
  <si>
    <t>16-106</t>
  </si>
  <si>
    <t>16-107</t>
  </si>
  <si>
    <t>SBUA</t>
  </si>
  <si>
    <t>16-125</t>
  </si>
  <si>
    <t>UE 308</t>
  </si>
  <si>
    <t>16-173</t>
  </si>
  <si>
    <t>UE 307</t>
  </si>
  <si>
    <t>16-181</t>
  </si>
  <si>
    <t>16-199</t>
  </si>
  <si>
    <t>Remainder reallocated to UE 307</t>
  </si>
  <si>
    <t>Rmdr reallocated to UE 308</t>
  </si>
  <si>
    <t>16-204</t>
  </si>
  <si>
    <t>Released by filing made 6/22/16</t>
  </si>
  <si>
    <t>UG 305</t>
  </si>
  <si>
    <t>16-253</t>
  </si>
  <si>
    <t>16-252</t>
  </si>
  <si>
    <t>16-267</t>
  </si>
  <si>
    <t>16-269</t>
  </si>
  <si>
    <t>16-275</t>
  </si>
  <si>
    <t>16-276</t>
  </si>
  <si>
    <t>Progress pymt</t>
  </si>
  <si>
    <t>16-002/16-279</t>
  </si>
  <si>
    <t>16-278</t>
  </si>
  <si>
    <t>LC 64</t>
  </si>
  <si>
    <t>Final Release Rmdr</t>
  </si>
  <si>
    <t>Release Remndr</t>
  </si>
  <si>
    <t>Final Release</t>
  </si>
  <si>
    <t>Remainder</t>
  </si>
  <si>
    <t>Final, Release Remainder</t>
  </si>
  <si>
    <t>16-281</t>
  </si>
  <si>
    <t>16-283</t>
  </si>
  <si>
    <t>16-284</t>
  </si>
  <si>
    <t>16-285</t>
  </si>
  <si>
    <t>16-040</t>
  </si>
  <si>
    <t>UM 1773</t>
  </si>
  <si>
    <t>UM 1790</t>
  </si>
  <si>
    <t>Reallocate 3785.33 to UE 307</t>
  </si>
  <si>
    <t>Allocate Rmder to UE 308</t>
  </si>
  <si>
    <t>Allocate $6412.53 to UE 308</t>
  </si>
  <si>
    <t>16-314</t>
  </si>
  <si>
    <t>16-313</t>
  </si>
  <si>
    <t>16-312</t>
  </si>
  <si>
    <t>Allocate $5000 to UM 1788</t>
  </si>
  <si>
    <t>16-308</t>
  </si>
  <si>
    <t>16-310</t>
  </si>
  <si>
    <t>amended prop bud reallocated from UM 1754</t>
  </si>
  <si>
    <t>16-309</t>
  </si>
  <si>
    <t>UM 1789</t>
  </si>
  <si>
    <t>16-350</t>
  </si>
  <si>
    <t>16-349</t>
  </si>
  <si>
    <t>16-320</t>
  </si>
  <si>
    <t>16-356</t>
  </si>
  <si>
    <t>16-357</t>
  </si>
  <si>
    <t>16-387</t>
  </si>
  <si>
    <t>16-407</t>
  </si>
  <si>
    <t>16-406</t>
  </si>
  <si>
    <t>16-201  / 16-315</t>
  </si>
  <si>
    <t>Amended budget, final reallocate remainder to LC 66</t>
  </si>
  <si>
    <t>LC 66</t>
  </si>
  <si>
    <t>16-200 / 16-311</t>
  </si>
  <si>
    <t>PGE 2017</t>
  </si>
  <si>
    <t>CUB 2017</t>
  </si>
  <si>
    <t>Matching 2017</t>
  </si>
  <si>
    <t>Issue 2017</t>
  </si>
  <si>
    <t>Total 2017 Budget</t>
  </si>
  <si>
    <t>2017 Uncommitted Budget</t>
  </si>
  <si>
    <t>PacifiCorp 2017</t>
  </si>
  <si>
    <t>2017 Annual Grant</t>
  </si>
  <si>
    <t>NWN 2017</t>
  </si>
  <si>
    <t>CASCADE 2017</t>
  </si>
  <si>
    <t>AVISTA 2017</t>
  </si>
  <si>
    <t>IDAHO POWER 2017</t>
  </si>
  <si>
    <t>PacifiCorp MSP 2017</t>
  </si>
  <si>
    <t>CUB MSP 2017</t>
  </si>
  <si>
    <t>ICNU MSP 2017</t>
  </si>
  <si>
    <t>Total 2017 Uncommitted</t>
  </si>
  <si>
    <t>16-432</t>
  </si>
  <si>
    <t>16-431</t>
  </si>
  <si>
    <t>16-430</t>
  </si>
  <si>
    <t>UM 1788</t>
  </si>
  <si>
    <t>16-443</t>
  </si>
  <si>
    <t>16-444</t>
  </si>
  <si>
    <t>UM 1586(10)</t>
  </si>
  <si>
    <t>16-455</t>
  </si>
  <si>
    <t>16-454</t>
  </si>
  <si>
    <t>16-433/16-462</t>
  </si>
  <si>
    <t>16-465</t>
  </si>
  <si>
    <t>16-500</t>
  </si>
  <si>
    <t>16-498</t>
  </si>
  <si>
    <t>16-499</t>
  </si>
  <si>
    <t>UM 1751</t>
  </si>
  <si>
    <t>17-002</t>
  </si>
  <si>
    <t>17-001</t>
  </si>
  <si>
    <t>17-003</t>
  </si>
  <si>
    <t>UM 1357(65)</t>
  </si>
  <si>
    <t>17-006</t>
  </si>
  <si>
    <t>UM 1757 (2)</t>
  </si>
  <si>
    <t>17-014</t>
  </si>
  <si>
    <t>17-013</t>
  </si>
  <si>
    <t>17-015</t>
  </si>
  <si>
    <t>See initial request in 2016</t>
  </si>
  <si>
    <t>See Amended req. in 2017</t>
  </si>
  <si>
    <t>Amended (Add'l) Budget</t>
  </si>
  <si>
    <t>UM 1815</t>
  </si>
  <si>
    <t>AR 600</t>
  </si>
  <si>
    <t>AR 603</t>
  </si>
  <si>
    <t>UM 1810</t>
  </si>
  <si>
    <t>17-032</t>
  </si>
  <si>
    <t>17-031</t>
  </si>
  <si>
    <t>17-033</t>
  </si>
  <si>
    <t>17-034</t>
  </si>
  <si>
    <t>17-035</t>
  </si>
  <si>
    <t>17-042</t>
  </si>
  <si>
    <t>UM 1812</t>
  </si>
  <si>
    <t>17-045</t>
  </si>
  <si>
    <t>UM 1586(12)</t>
  </si>
  <si>
    <t>UG 325</t>
  </si>
  <si>
    <t>17-069</t>
  </si>
  <si>
    <t>17-070</t>
  </si>
  <si>
    <t>17-067</t>
  </si>
  <si>
    <t>17-068</t>
  </si>
  <si>
    <t>UE 319</t>
  </si>
  <si>
    <t>UM 1810 etc</t>
  </si>
  <si>
    <t>17-073</t>
  </si>
  <si>
    <t>17-072</t>
  </si>
  <si>
    <t>UM 1357 (67)</t>
  </si>
  <si>
    <t>UM 1357(66)</t>
  </si>
  <si>
    <t>UM 1808</t>
  </si>
  <si>
    <t>UM 1811</t>
  </si>
  <si>
    <t>17-092</t>
  </si>
  <si>
    <t>UM 1804</t>
  </si>
  <si>
    <t>17-095</t>
  </si>
  <si>
    <t>17-094</t>
  </si>
  <si>
    <t>17-087</t>
  </si>
  <si>
    <t>UM 1357(70)</t>
  </si>
  <si>
    <t>UM 1357(69)</t>
  </si>
  <si>
    <t>UM 1357(68)</t>
  </si>
  <si>
    <t>17-128</t>
  </si>
  <si>
    <t>17-129</t>
  </si>
  <si>
    <t>17-130</t>
  </si>
  <si>
    <t>UM 1824</t>
  </si>
  <si>
    <t>UE 323</t>
  </si>
  <si>
    <t>17-134</t>
  </si>
  <si>
    <t>17-133</t>
  </si>
  <si>
    <t>conditional to $15,000; reallocated $9261.50 from UM 1662 (2014) release in Annual IF Report</t>
  </si>
  <si>
    <t>17-142</t>
  </si>
  <si>
    <t>17-143</t>
  </si>
  <si>
    <t>17-098, 17-144</t>
  </si>
  <si>
    <t>17-160</t>
  </si>
  <si>
    <t>17-163</t>
  </si>
  <si>
    <t>17-167</t>
  </si>
  <si>
    <t>Denied as Moot</t>
  </si>
  <si>
    <t>17-179</t>
  </si>
  <si>
    <t>17-183</t>
  </si>
  <si>
    <t>17-182</t>
  </si>
  <si>
    <t>LC 67</t>
  </si>
  <si>
    <t>17-230</t>
  </si>
  <si>
    <t>17-231</t>
  </si>
  <si>
    <t>17-229</t>
  </si>
  <si>
    <t>UE 316</t>
  </si>
  <si>
    <t>UE 314</t>
  </si>
  <si>
    <t>17-233</t>
  </si>
  <si>
    <t>17-234</t>
  </si>
  <si>
    <t>17-238</t>
  </si>
  <si>
    <t>UM 1586(13)</t>
  </si>
  <si>
    <t>17-278</t>
  </si>
  <si>
    <t>17-277</t>
  </si>
  <si>
    <t>$10000 Released by CUB for use in UE docket</t>
  </si>
  <si>
    <t>17-293</t>
  </si>
  <si>
    <t>17-294</t>
  </si>
  <si>
    <t>17-333</t>
  </si>
  <si>
    <t>17-334</t>
  </si>
  <si>
    <t>17-353</t>
  </si>
  <si>
    <t>17-352</t>
  </si>
  <si>
    <t>17-354</t>
  </si>
  <si>
    <t>LC 68</t>
  </si>
  <si>
    <t>17-361</t>
  </si>
  <si>
    <t>Release by email 6/27/17</t>
  </si>
  <si>
    <t>17-387</t>
  </si>
  <si>
    <t>Released by filing 10/17/17</t>
  </si>
  <si>
    <t>Released 10/17/17</t>
  </si>
  <si>
    <t>Additional requested amended budget 10/17/17</t>
  </si>
  <si>
    <t>.</t>
  </si>
  <si>
    <t>Rmdr Released</t>
  </si>
  <si>
    <t>17-421</t>
  </si>
  <si>
    <t>17-420</t>
  </si>
  <si>
    <t>17-425</t>
  </si>
  <si>
    <t>17-424</t>
  </si>
  <si>
    <t>17-423</t>
  </si>
  <si>
    <t>Partial $17983.96</t>
  </si>
  <si>
    <t>17-430</t>
  </si>
  <si>
    <t>17-422/17-432</t>
  </si>
  <si>
    <t>Reallocated from UM 1810</t>
  </si>
  <si>
    <t>Reallocated to UM 1810</t>
  </si>
  <si>
    <t>UM 1897</t>
  </si>
  <si>
    <t>17-433</t>
  </si>
  <si>
    <t>17-434</t>
  </si>
  <si>
    <t>17-435</t>
  </si>
  <si>
    <t>17-436</t>
  </si>
  <si>
    <t>17-437</t>
  </si>
  <si>
    <t>17-438</t>
  </si>
  <si>
    <t>17-439</t>
  </si>
  <si>
    <t>17-440</t>
  </si>
  <si>
    <t>17-442</t>
  </si>
  <si>
    <t>UE 333</t>
  </si>
  <si>
    <t>17-467</t>
  </si>
  <si>
    <t>17-468</t>
  </si>
  <si>
    <t>17-469</t>
  </si>
  <si>
    <t>17-475</t>
  </si>
  <si>
    <t>17-448/17-486</t>
  </si>
  <si>
    <t>PGE 2018</t>
  </si>
  <si>
    <t>CUB 2018</t>
  </si>
  <si>
    <t>Matching 2018</t>
  </si>
  <si>
    <t>Issue 2018</t>
  </si>
  <si>
    <t>Total 2018 Budget</t>
  </si>
  <si>
    <t>PacifiCorp 2018</t>
  </si>
  <si>
    <t>2018 Annual Grant</t>
  </si>
  <si>
    <t>NWN 2018</t>
  </si>
  <si>
    <t>Annual Grant + Rollover</t>
  </si>
  <si>
    <t>PacifiCorp MSP 2018</t>
  </si>
  <si>
    <t>CUB MSP 2018</t>
  </si>
  <si>
    <t>ICNU MSP 2018</t>
  </si>
  <si>
    <t>Total 2018 Uncommitted</t>
  </si>
  <si>
    <t>17-499</t>
  </si>
  <si>
    <t>17-500</t>
  </si>
  <si>
    <t>CASCADE 2018</t>
  </si>
  <si>
    <t>UM 1929</t>
  </si>
  <si>
    <t>AVISTA 2018</t>
  </si>
  <si>
    <t>IDAHO POWER 2018</t>
  </si>
  <si>
    <t>18-020</t>
  </si>
  <si>
    <t>UM 1929(1)</t>
  </si>
  <si>
    <t>18-011</t>
  </si>
  <si>
    <t>UM 1757 (3)</t>
  </si>
  <si>
    <t>18-012</t>
  </si>
  <si>
    <t>UM 1586(14)</t>
  </si>
  <si>
    <t>18-005</t>
  </si>
  <si>
    <t>UM 1357(73)</t>
  </si>
  <si>
    <t>18-003</t>
  </si>
  <si>
    <t>UM 1357(71)</t>
  </si>
  <si>
    <t>18-004</t>
  </si>
  <si>
    <t>UM 1357(72)</t>
  </si>
  <si>
    <t>17-489</t>
  </si>
  <si>
    <t>UM 1911</t>
  </si>
  <si>
    <t>18-028</t>
  </si>
  <si>
    <t>18-030</t>
  </si>
  <si>
    <t>18-048</t>
  </si>
  <si>
    <t>UG 344</t>
  </si>
  <si>
    <t>UM 1856</t>
  </si>
  <si>
    <t>18-058</t>
  </si>
  <si>
    <t>18-060</t>
  </si>
  <si>
    <t>UE 335</t>
  </si>
  <si>
    <t>18-027</t>
  </si>
  <si>
    <t>18-061</t>
  </si>
  <si>
    <t>18-062</t>
  </si>
  <si>
    <t>Released</t>
  </si>
  <si>
    <t>18-083</t>
  </si>
  <si>
    <t>18-082</t>
  </si>
  <si>
    <t>UM 1909</t>
  </si>
  <si>
    <t>LC 69</t>
  </si>
  <si>
    <t>18-101</t>
  </si>
  <si>
    <t>18-099</t>
  </si>
  <si>
    <t>18-098</t>
  </si>
  <si>
    <t>18-100</t>
  </si>
  <si>
    <t>18-009</t>
  </si>
  <si>
    <t>FINAL</t>
  </si>
  <si>
    <t>RELEASE REMAINDER</t>
  </si>
  <si>
    <t>18-102</t>
  </si>
  <si>
    <t>18-103</t>
  </si>
  <si>
    <t>UM 1357 (75)</t>
  </si>
  <si>
    <t>UM 1357(74)</t>
  </si>
  <si>
    <t>18-105</t>
  </si>
  <si>
    <t>AWEC</t>
  </si>
  <si>
    <t>UM 1933</t>
  </si>
  <si>
    <t>18-133</t>
  </si>
  <si>
    <t>UE 339</t>
  </si>
  <si>
    <t>18-146</t>
  </si>
  <si>
    <t>UM 1586(15)</t>
  </si>
  <si>
    <t>18-150</t>
  </si>
  <si>
    <t>18-151</t>
  </si>
  <si>
    <t>18-159</t>
  </si>
  <si>
    <t xml:space="preserve">See also 2016 for $5566.05 </t>
  </si>
  <si>
    <t>17-335</t>
  </si>
  <si>
    <t>Final Pymt</t>
  </si>
  <si>
    <t>18-211</t>
  </si>
  <si>
    <t>18-213</t>
  </si>
  <si>
    <t>18-217</t>
  </si>
  <si>
    <t>18-218</t>
  </si>
  <si>
    <t>UG 347</t>
  </si>
  <si>
    <t>18-219</t>
  </si>
  <si>
    <t>LC 70</t>
  </si>
  <si>
    <t>18-251</t>
  </si>
  <si>
    <t>ICNU/AWEC</t>
  </si>
  <si>
    <t>18-287</t>
  </si>
  <si>
    <t>18-286</t>
  </si>
  <si>
    <t>18-302</t>
  </si>
  <si>
    <t>18-325</t>
  </si>
  <si>
    <t>18-326</t>
  </si>
  <si>
    <t>LC 71</t>
  </si>
  <si>
    <t>Total Committed Balance</t>
  </si>
  <si>
    <t xml:space="preserve">Date of Request </t>
  </si>
  <si>
    <t>Organization</t>
  </si>
  <si>
    <t>PGE Docket UM 1965 SB 978 Issue Fund</t>
  </si>
  <si>
    <t>PACIFICORP Docket UM 1965 SB 978 Issue Fund</t>
  </si>
  <si>
    <t>18-328</t>
  </si>
  <si>
    <t>18-345</t>
  </si>
  <si>
    <t>18-350</t>
  </si>
  <si>
    <t>AWEC (ICNU)</t>
  </si>
  <si>
    <t>AWEC (NWIGU)</t>
  </si>
  <si>
    <t>Final, release remainder</t>
  </si>
  <si>
    <t>UM 1845</t>
  </si>
  <si>
    <t>18-363</t>
  </si>
  <si>
    <t>18-368</t>
  </si>
  <si>
    <t>15-365</t>
  </si>
  <si>
    <t>18-370</t>
  </si>
  <si>
    <t>UM 1968</t>
  </si>
  <si>
    <t>Partial and reallocate $15,400 to UM 1845; reallocate $10,600 to UM 1968</t>
  </si>
  <si>
    <t>Reallocated from UM 1824 budget</t>
  </si>
  <si>
    <t>final/rls rmdr</t>
  </si>
  <si>
    <t>Amended</t>
  </si>
  <si>
    <t>18-406</t>
  </si>
  <si>
    <t>18-407</t>
  </si>
  <si>
    <t>18-408</t>
  </si>
  <si>
    <t>18-409</t>
  </si>
  <si>
    <t>See 2016 for UM 1716 release</t>
  </si>
  <si>
    <t>&amp;10,600 Reallocated from UM 1824 budget</t>
  </si>
  <si>
    <t>18-36718-426</t>
  </si>
  <si>
    <t>18-426/18-427</t>
  </si>
  <si>
    <t>18-428</t>
  </si>
  <si>
    <t>AWEC(NWIGU)</t>
  </si>
  <si>
    <t>UG 344 P2</t>
  </si>
  <si>
    <t>18-446</t>
  </si>
  <si>
    <t>18-437</t>
  </si>
  <si>
    <t>18-436</t>
  </si>
  <si>
    <t>Additional in amended req</t>
  </si>
  <si>
    <t>18-265/18-364</t>
  </si>
  <si>
    <t>18-460</t>
  </si>
  <si>
    <t>18-462</t>
  </si>
  <si>
    <t>18-461</t>
  </si>
  <si>
    <t>PGE 2019</t>
  </si>
  <si>
    <t>CUB 2019</t>
  </si>
  <si>
    <t>Matching 2019</t>
  </si>
  <si>
    <t>Issue 2019</t>
  </si>
  <si>
    <t>Total 2019 Budget</t>
  </si>
  <si>
    <t>UM 1929(_)</t>
  </si>
  <si>
    <t>PacifiCorp 2019</t>
  </si>
  <si>
    <t>2019 Annual Grant</t>
  </si>
  <si>
    <t>NWN 2019</t>
  </si>
  <si>
    <t>CASCADE 2019</t>
  </si>
  <si>
    <t>AVISTA 2019</t>
  </si>
  <si>
    <t>IDAHO POWER 2019</t>
  </si>
  <si>
    <t>PacifiCorp MSP 2019</t>
  </si>
  <si>
    <t>CUB MSP 2019</t>
  </si>
  <si>
    <t>AWEC MSP 2019</t>
  </si>
  <si>
    <t>Total 2019 Uncommitted</t>
  </si>
  <si>
    <t>18-463</t>
  </si>
  <si>
    <t>VERDE</t>
  </si>
  <si>
    <t>OPAL</t>
  </si>
  <si>
    <t>CCC</t>
  </si>
  <si>
    <t>18-475</t>
  </si>
  <si>
    <t>UM 1965</t>
  </si>
  <si>
    <t>19-003</t>
  </si>
  <si>
    <t>UM 1757 (4)</t>
  </si>
  <si>
    <t>19-004</t>
  </si>
  <si>
    <t>UE 350</t>
  </si>
  <si>
    <t>19-010</t>
  </si>
  <si>
    <t>19-009</t>
  </si>
  <si>
    <t>UE 352</t>
  </si>
  <si>
    <t>19-033</t>
  </si>
  <si>
    <t>19-035</t>
  </si>
  <si>
    <t>18-379</t>
  </si>
  <si>
    <t>19-110</t>
  </si>
  <si>
    <t>UE 356</t>
  </si>
  <si>
    <t>UE 359</t>
  </si>
  <si>
    <t>UE 358</t>
  </si>
  <si>
    <t>19-123</t>
  </si>
  <si>
    <t>19-124</t>
  </si>
  <si>
    <t>19-125</t>
  </si>
  <si>
    <t>19-126</t>
  </si>
  <si>
    <t>19-127</t>
  </si>
  <si>
    <t>19-131</t>
  </si>
  <si>
    <t>final</t>
  </si>
  <si>
    <t>Rel. remdr.</t>
  </si>
  <si>
    <t>19-139</t>
  </si>
  <si>
    <t>19-140</t>
  </si>
  <si>
    <t>UG 366</t>
  </si>
  <si>
    <t>19-141</t>
  </si>
  <si>
    <t>19-142</t>
  </si>
  <si>
    <t>19-143</t>
  </si>
  <si>
    <t>19-144</t>
  </si>
  <si>
    <t>19-145</t>
  </si>
  <si>
    <t>18-104</t>
  </si>
  <si>
    <t>19-163</t>
  </si>
  <si>
    <t>19-148</t>
  </si>
  <si>
    <t>19-174</t>
  </si>
  <si>
    <t>LC 73</t>
  </si>
  <si>
    <t>19-209</t>
  </si>
  <si>
    <t>19-220</t>
  </si>
  <si>
    <t>19-014</t>
  </si>
  <si>
    <t>AWEC (fka ICNU) MSP</t>
  </si>
  <si>
    <t>UP 400</t>
  </si>
  <si>
    <t>UM 2026</t>
  </si>
  <si>
    <t>19-258</t>
  </si>
  <si>
    <t>19-259</t>
  </si>
  <si>
    <t>19-260</t>
  </si>
  <si>
    <t>19-257</t>
  </si>
  <si>
    <t>19-288</t>
  </si>
  <si>
    <t>19-287</t>
  </si>
  <si>
    <t>19-289</t>
  </si>
  <si>
    <t>19-290</t>
  </si>
  <si>
    <t>19-296</t>
  </si>
  <si>
    <t>Final Allocate remainder to LC 70</t>
  </si>
  <si>
    <t>19-319</t>
  </si>
  <si>
    <t>19-320</t>
  </si>
  <si>
    <t>19-318</t>
  </si>
  <si>
    <t>Release Rmder</t>
  </si>
  <si>
    <t>19-325</t>
  </si>
  <si>
    <t>19-138/19-327</t>
  </si>
  <si>
    <t>19-328</t>
  </si>
  <si>
    <t>19-326</t>
  </si>
  <si>
    <t>19-330</t>
  </si>
  <si>
    <t>Rel. rmdr.</t>
  </si>
  <si>
    <t>19-345</t>
  </si>
  <si>
    <t>Reallocate to LC 70</t>
  </si>
  <si>
    <t>19-382</t>
  </si>
  <si>
    <t>19-381</t>
  </si>
  <si>
    <t>19-380</t>
  </si>
  <si>
    <t>19-383</t>
  </si>
  <si>
    <t>UM 2024</t>
  </si>
  <si>
    <t>19-402</t>
  </si>
  <si>
    <t>19-413</t>
  </si>
  <si>
    <t>$8726.54 remains in LC 70 budget</t>
  </si>
  <si>
    <t>20-001</t>
  </si>
  <si>
    <t>release rmdr.</t>
  </si>
  <si>
    <t>19-417</t>
  </si>
  <si>
    <t>Intervenor Funds Summary 2020</t>
  </si>
  <si>
    <t>PGE 2020</t>
  </si>
  <si>
    <t>CUB 2020</t>
  </si>
  <si>
    <t>Matching 2020</t>
  </si>
  <si>
    <t>Issue 2020</t>
  </si>
  <si>
    <t>PacifiCorp 2020</t>
  </si>
  <si>
    <t>2020 Annual Grant</t>
  </si>
  <si>
    <t>Total 2020 Budget</t>
  </si>
  <si>
    <t>NWN 2020</t>
  </si>
  <si>
    <t>CASCADE 2020</t>
  </si>
  <si>
    <t>IDAHO POWER 2020</t>
  </si>
  <si>
    <t xml:space="preserve">UM 1757 </t>
  </si>
  <si>
    <t>Paid 2020</t>
  </si>
  <si>
    <t>20-003</t>
  </si>
  <si>
    <t>20-005</t>
  </si>
  <si>
    <t>20-006</t>
  </si>
  <si>
    <t>20-007</t>
  </si>
  <si>
    <t>20-008</t>
  </si>
  <si>
    <t>19-343</t>
  </si>
  <si>
    <t>20-010</t>
  </si>
  <si>
    <t>20-011</t>
  </si>
  <si>
    <t>UE 370/372</t>
  </si>
  <si>
    <t>20-039</t>
  </si>
  <si>
    <t>UG 388</t>
  </si>
  <si>
    <t>UM 2004</t>
  </si>
  <si>
    <t>20-042</t>
  </si>
  <si>
    <t>20-043</t>
  </si>
  <si>
    <t>20-044</t>
  </si>
  <si>
    <t>Reallocate to UM 2024 see Order No. 19-414</t>
  </si>
  <si>
    <t>(3930.14 from UM 1968, 6069.86)</t>
  </si>
  <si>
    <t>UE 374</t>
  </si>
  <si>
    <t>20-050</t>
  </si>
  <si>
    <t>20-049</t>
  </si>
  <si>
    <t>20-009</t>
  </si>
  <si>
    <t>UE 375</t>
  </si>
  <si>
    <t>20-072</t>
  </si>
  <si>
    <t>19-414/20-073</t>
  </si>
  <si>
    <t>20-074</t>
  </si>
  <si>
    <t>20-075</t>
  </si>
  <si>
    <t>20-083</t>
  </si>
  <si>
    <t>AR 632</t>
  </si>
  <si>
    <t>UG 390</t>
  </si>
  <si>
    <t>20-115</t>
  </si>
  <si>
    <t>20-116</t>
  </si>
  <si>
    <t>20-117</t>
  </si>
  <si>
    <t>20-118</t>
  </si>
  <si>
    <t>20-119</t>
  </si>
  <si>
    <t>UE 377</t>
  </si>
  <si>
    <t>20-128</t>
  </si>
  <si>
    <t>20-127</t>
  </si>
  <si>
    <t>LC 74</t>
  </si>
  <si>
    <t>20-150</t>
  </si>
  <si>
    <t>20-188</t>
  </si>
  <si>
    <t>PacifiCorp MSP 2020</t>
  </si>
  <si>
    <t>CUB MSP 2020</t>
  </si>
  <si>
    <t>AWEC MSP 2020</t>
  </si>
  <si>
    <t>Total 2020 Uncommitted</t>
  </si>
  <si>
    <t>20-191</t>
  </si>
  <si>
    <t>20-217</t>
  </si>
  <si>
    <t>20-216</t>
  </si>
  <si>
    <t>20-235</t>
  </si>
  <si>
    <t>20-236</t>
  </si>
  <si>
    <t>20-234</t>
  </si>
  <si>
    <t>20-237</t>
  </si>
  <si>
    <t>19-397</t>
  </si>
  <si>
    <t>20-267</t>
  </si>
  <si>
    <t>20-266</t>
  </si>
  <si>
    <t>Reallocate to UM 2024</t>
  </si>
  <si>
    <t>Reallocated from UE 377</t>
  </si>
  <si>
    <t>20-336</t>
  </si>
  <si>
    <t>20-337</t>
  </si>
  <si>
    <t>Final Payment request of 10/29/2020</t>
  </si>
  <si>
    <t>Release Rmdr</t>
  </si>
  <si>
    <t>20-424</t>
  </si>
  <si>
    <t>20-426</t>
  </si>
  <si>
    <t>20-422</t>
  </si>
  <si>
    <t>20-425</t>
  </si>
  <si>
    <t>20-423</t>
  </si>
  <si>
    <t>20-418</t>
  </si>
  <si>
    <t>20-420</t>
  </si>
  <si>
    <t>20-419</t>
  </si>
  <si>
    <t>20-428</t>
  </si>
  <si>
    <t>20-436</t>
  </si>
  <si>
    <t>Pending</t>
  </si>
  <si>
    <t>20-477</t>
  </si>
  <si>
    <t>CUB 2021</t>
  </si>
  <si>
    <t>Matching 2021</t>
  </si>
  <si>
    <t>Issue 2021</t>
  </si>
  <si>
    <t>PacifiCorp 2021</t>
  </si>
  <si>
    <t>2021 Annual Grant</t>
  </si>
  <si>
    <t>Total 2021 Budget</t>
  </si>
  <si>
    <t>NWN 2021</t>
  </si>
  <si>
    <t>CASCADE 2021</t>
  </si>
  <si>
    <t>AVISTA 2021</t>
  </si>
  <si>
    <t>IDAHO POWER 2021</t>
  </si>
  <si>
    <t>PacifiCorp MSP 2021</t>
  </si>
  <si>
    <t>CUB MSP 2021</t>
  </si>
  <si>
    <t>AWEC MSP 2021</t>
  </si>
  <si>
    <t>Total 2021 Uncommitted</t>
  </si>
  <si>
    <t>20-451</t>
  </si>
  <si>
    <t>20-452</t>
  </si>
  <si>
    <t>20-448</t>
  </si>
  <si>
    <t>PGE 2021 (UM 1929)</t>
  </si>
  <si>
    <t>21-025</t>
  </si>
  <si>
    <t>Available Balance</t>
  </si>
  <si>
    <t>Full Rollover from 2020 allowed</t>
  </si>
  <si>
    <t>21-101</t>
  </si>
  <si>
    <t>UE 390</t>
  </si>
  <si>
    <t>UE 391</t>
  </si>
  <si>
    <t>LC 75</t>
  </si>
  <si>
    <t>21-115</t>
  </si>
  <si>
    <t>21-149</t>
  </si>
  <si>
    <t>21-151</t>
  </si>
  <si>
    <t>21-114</t>
  </si>
  <si>
    <t>UE 394</t>
  </si>
  <si>
    <t>UM 2165</t>
  </si>
  <si>
    <t>UE 384</t>
  </si>
  <si>
    <t>21-163</t>
  </si>
  <si>
    <t>21-248</t>
  </si>
  <si>
    <t>21-249</t>
  </si>
  <si>
    <t>21-250</t>
  </si>
  <si>
    <t>UM 2152</t>
  </si>
  <si>
    <t>21-262</t>
  </si>
  <si>
    <t>Rtn Rmdr</t>
  </si>
  <si>
    <t>21-276</t>
  </si>
  <si>
    <t>21-275</t>
  </si>
  <si>
    <t>21-282</t>
  </si>
  <si>
    <t>21-110</t>
  </si>
  <si>
    <t>UM 2126</t>
  </si>
  <si>
    <t>21-024</t>
  </si>
  <si>
    <t>21-295</t>
  </si>
  <si>
    <t>Amended budget filed 9/16/2021</t>
  </si>
  <si>
    <t>3rd amendment See 2020 for other requests</t>
  </si>
  <si>
    <t>21-301</t>
  </si>
  <si>
    <t>21-303</t>
  </si>
  <si>
    <t>21-123/21-302</t>
  </si>
  <si>
    <t>21-314</t>
  </si>
  <si>
    <t>9/27/20021</t>
  </si>
  <si>
    <t>21-332</t>
  </si>
  <si>
    <t>UM 2183</t>
  </si>
  <si>
    <t>Remainder reallocated to UM 2183</t>
  </si>
  <si>
    <t>LC 77</t>
  </si>
  <si>
    <t>$3,798.21 allocated from UE 390, $26,201.79 from the 2022 PAC Issue Fund</t>
  </si>
  <si>
    <t>21-391</t>
  </si>
  <si>
    <t>21-392</t>
  </si>
  <si>
    <t>21-393</t>
  </si>
  <si>
    <t>21-394</t>
  </si>
  <si>
    <t>21-395</t>
  </si>
  <si>
    <t>21-396</t>
  </si>
  <si>
    <t>21-397</t>
  </si>
  <si>
    <t>21-398</t>
  </si>
  <si>
    <t>UG 432</t>
  </si>
  <si>
    <t>UM 2178</t>
  </si>
  <si>
    <t>21-428</t>
  </si>
  <si>
    <t>21-427</t>
  </si>
  <si>
    <t>21-426</t>
  </si>
  <si>
    <t>21-425</t>
  </si>
  <si>
    <t>21-424</t>
  </si>
  <si>
    <t>21-423</t>
  </si>
  <si>
    <t>Amended budget filed 11/16/2021</t>
  </si>
  <si>
    <t>21-479</t>
  </si>
  <si>
    <t>21-480</t>
  </si>
  <si>
    <t>Intervenor Issue Fund Usage Summary 2022</t>
  </si>
  <si>
    <t>(Applies only to Issue Fund Budgets Approved for 2022 funds)</t>
  </si>
  <si>
    <t>CUB 2022</t>
  </si>
  <si>
    <t>Matching 2022</t>
  </si>
  <si>
    <t>Issue 2022</t>
  </si>
  <si>
    <t>Total 2022 Budget</t>
  </si>
  <si>
    <t>PGE 2022 (UM 1929 in effect through 2022)</t>
  </si>
  <si>
    <t>2022 Annual Grant</t>
  </si>
  <si>
    <t>PacifiCorp 2022 (UM 1929 in effect through 2022)</t>
  </si>
  <si>
    <t>Allocated in 2021 from 2022 Issue Fund</t>
  </si>
  <si>
    <t>NWN 2022 (UM 1929 in effect through 2022)</t>
  </si>
  <si>
    <t>CASCADE 2022 (UM 1929 in effect through 2022)</t>
  </si>
  <si>
    <t>AVISTA 2020</t>
  </si>
  <si>
    <t>AVISTA 2022 (UM 1929 effective through 2022)</t>
  </si>
  <si>
    <t>IDAHO POWER 2022 (UM 2126 in effect through 2025)</t>
  </si>
  <si>
    <t>PacifiCorp MSP 2022 (UM 1586 effective through 2023)</t>
  </si>
  <si>
    <t>CUB MSP 2022</t>
  </si>
  <si>
    <t>AWEC MSP 2022</t>
  </si>
  <si>
    <t>Total 2022 Uncommitted</t>
  </si>
  <si>
    <t>AWEC/NWIGU</t>
  </si>
  <si>
    <t>UG 433</t>
  </si>
  <si>
    <t>22-002</t>
  </si>
  <si>
    <t>22-003</t>
  </si>
  <si>
    <t>22-015</t>
  </si>
  <si>
    <t>22-014</t>
  </si>
  <si>
    <t>UG 435</t>
  </si>
  <si>
    <t>Amended, see 2021 also</t>
  </si>
  <si>
    <t>See 2022 also for amended</t>
  </si>
  <si>
    <t>22-028</t>
  </si>
  <si>
    <t>22-026</t>
  </si>
  <si>
    <t>22-027</t>
  </si>
  <si>
    <t>Rogue Climate</t>
  </si>
  <si>
    <t>CAPO</t>
  </si>
  <si>
    <t>CEP</t>
  </si>
  <si>
    <t>PGE Pending Payment</t>
  </si>
  <si>
    <t>PGE  Payment Amount</t>
  </si>
  <si>
    <t xml:space="preserve">PacifiCorp Pending  Payment </t>
  </si>
  <si>
    <t>PacifiCorp Payment Amount</t>
  </si>
  <si>
    <t>NWN Pending Payment</t>
  </si>
  <si>
    <t>NWN Payment Amount</t>
  </si>
  <si>
    <t>Avista Pending Payment</t>
  </si>
  <si>
    <t>Avista Payment Amount</t>
  </si>
  <si>
    <t>Cascade Pending Payment</t>
  </si>
  <si>
    <t>Cascade Payment Amount</t>
  </si>
  <si>
    <t>Idaho Power Pending Payment</t>
  </si>
  <si>
    <t>Idaho Power Payment Amount</t>
  </si>
  <si>
    <t>UE 399</t>
  </si>
  <si>
    <t>UE 400</t>
  </si>
  <si>
    <t>21-432</t>
  </si>
  <si>
    <t>21-434</t>
  </si>
  <si>
    <t>Return this to MSP fund</t>
  </si>
  <si>
    <t>2nd Amendment</t>
  </si>
  <si>
    <t>AR 638/UM 2207</t>
  </si>
  <si>
    <t>22-149</t>
  </si>
  <si>
    <t>22-148</t>
  </si>
  <si>
    <t>22-150</t>
  </si>
  <si>
    <t>22-151</t>
  </si>
  <si>
    <t>22-152</t>
  </si>
  <si>
    <t>22-153</t>
  </si>
  <si>
    <t>22-182</t>
  </si>
  <si>
    <t>22-183</t>
  </si>
  <si>
    <t>22-222</t>
  </si>
  <si>
    <t>22-166</t>
  </si>
  <si>
    <t>UM 2211</t>
  </si>
  <si>
    <t>AR 652</t>
  </si>
  <si>
    <t>AR 653/UM 2114</t>
  </si>
  <si>
    <t>capped at 80% of grant amount</t>
  </si>
  <si>
    <t>Note:  When allocation is split across all utilities, the breakdown is 28.33 percent for PGE and NWN, 28.34 percent for PacifiCorp, and .05 percent for Avista, Cascade, and Idaho Power.</t>
  </si>
  <si>
    <t xml:space="preserve">Note:Budget/Request may not exceed 80 percent of allocation or </t>
  </si>
  <si>
    <t>22-356</t>
  </si>
  <si>
    <t>22-354</t>
  </si>
  <si>
    <t>22-357</t>
  </si>
  <si>
    <t>22-355</t>
  </si>
  <si>
    <t>22-367</t>
  </si>
  <si>
    <t>22-366</t>
  </si>
  <si>
    <t>22-369</t>
  </si>
  <si>
    <t>22-365</t>
  </si>
  <si>
    <t>22-370</t>
  </si>
  <si>
    <t>22-368</t>
  </si>
  <si>
    <t>22-417</t>
  </si>
  <si>
    <t>22-418</t>
  </si>
  <si>
    <t>21-416</t>
  </si>
  <si>
    <t>22-426</t>
  </si>
  <si>
    <t>Amendment to Budget</t>
  </si>
  <si>
    <t>UE 401</t>
  </si>
  <si>
    <t>22-441</t>
  </si>
  <si>
    <t>22-447</t>
  </si>
  <si>
    <t>22-449</t>
  </si>
  <si>
    <t>23-015</t>
  </si>
  <si>
    <t>23-022</t>
  </si>
  <si>
    <t>23-021</t>
  </si>
  <si>
    <t>23-019</t>
  </si>
  <si>
    <t>23-020</t>
  </si>
  <si>
    <t>23-018</t>
  </si>
  <si>
    <t>23-017</t>
  </si>
  <si>
    <t>LC 79</t>
  </si>
  <si>
    <t>UM 2225</t>
  </si>
  <si>
    <t>23-013</t>
  </si>
  <si>
    <t>23-037</t>
  </si>
  <si>
    <t>22-507</t>
  </si>
  <si>
    <t>LC 76</t>
  </si>
  <si>
    <t>LC 78</t>
  </si>
  <si>
    <t>23-041</t>
  </si>
  <si>
    <t>22-042</t>
  </si>
  <si>
    <t>23-043</t>
  </si>
  <si>
    <t>23-044</t>
  </si>
  <si>
    <t>PGE 2023 (UM 2264 in effect through 2027)</t>
  </si>
  <si>
    <t>CUB 2023</t>
  </si>
  <si>
    <t>Matching 2023</t>
  </si>
  <si>
    <t>Issue 2023</t>
  </si>
  <si>
    <t>Case Certified 2023</t>
  </si>
  <si>
    <t>Case-Certified</t>
  </si>
  <si>
    <t>Total 2023 Budget</t>
  </si>
  <si>
    <t>PacifiCorp 2023 (UM 2264 in effect through 2027)</t>
  </si>
  <si>
    <t>2023 Annual Grant</t>
  </si>
  <si>
    <t>CUB Fund and Issue Fund Increase by 3% each year</t>
  </si>
  <si>
    <t>Matching and Case Certified Funds do not increase</t>
  </si>
  <si>
    <t>UM 2264</t>
  </si>
  <si>
    <t>Case Certified</t>
  </si>
  <si>
    <t>NWN 2023 (UM 2264 in effect through 2027)</t>
  </si>
  <si>
    <t>CASCADE 2023 (UM 2264 in effect through 2027)</t>
  </si>
  <si>
    <t>Case-Certified 2023</t>
  </si>
  <si>
    <t>AVISTA 2023 (UM 2264 effective through 2027)</t>
  </si>
  <si>
    <t>IDAHO POWER 2023 (UM 2126 in effect through 2025)</t>
  </si>
  <si>
    <t>CUB MSP 2023</t>
  </si>
  <si>
    <t>AWEC MSP 2023</t>
  </si>
  <si>
    <t>Total 2023 Uncommitted</t>
  </si>
  <si>
    <t>Pre-Certification Fund</t>
  </si>
  <si>
    <t>Case Fund</t>
  </si>
  <si>
    <t xml:space="preserve">Fund Type </t>
  </si>
  <si>
    <t>Pre-Certification</t>
  </si>
  <si>
    <t>2023 JUSTICE FUNDING  (UM 2211 Order No. 23-033 through 2024)</t>
  </si>
  <si>
    <t>2022 INTERIM HB 2475 (UM 2211 Order No. 22-043)</t>
  </si>
  <si>
    <t>2024 JUSTICE FUNDING  (UM 2211 Order No. 23-033 through 2024)</t>
  </si>
  <si>
    <t>2024 Annual Grant</t>
  </si>
  <si>
    <t>Total 2024 Budget</t>
  </si>
  <si>
    <t>23-073</t>
  </si>
  <si>
    <t>21-478/ 23-073</t>
  </si>
  <si>
    <t>N/A</t>
  </si>
  <si>
    <t xml:space="preserve">AWEC </t>
  </si>
  <si>
    <t>Justice Funding -Pre-Certified</t>
  </si>
  <si>
    <t>Justice Funding Case Funds</t>
  </si>
  <si>
    <t>Intervenor Funds Summary 2023</t>
  </si>
  <si>
    <t>Paid 2023</t>
  </si>
  <si>
    <t>Case-Cert</t>
  </si>
  <si>
    <t>case fund '.4*2022 balance</t>
  </si>
  <si>
    <t>.6*2022 bal</t>
  </si>
  <si>
    <t>Case-certified</t>
  </si>
  <si>
    <t>UE 416</t>
  </si>
  <si>
    <t>LC 80</t>
  </si>
  <si>
    <t>Rel. Rmdr</t>
  </si>
  <si>
    <t>23-089</t>
  </si>
  <si>
    <t>23-090</t>
  </si>
  <si>
    <t>23-092</t>
  </si>
  <si>
    <t>23-091</t>
  </si>
  <si>
    <t>remainder released</t>
  </si>
  <si>
    <t>23-096</t>
  </si>
  <si>
    <t>23-095</t>
  </si>
  <si>
    <t>23-094</t>
  </si>
  <si>
    <t>22-226</t>
  </si>
  <si>
    <t>final payment of 22800</t>
  </si>
  <si>
    <t>23-013 and 3/13/23 amend</t>
  </si>
  <si>
    <t>Orignal $10,350.</t>
  </si>
  <si>
    <t>23-129</t>
  </si>
  <si>
    <t>23-130</t>
  </si>
  <si>
    <t>CC 22-305, budget denied 8/22/22</t>
  </si>
  <si>
    <t>Proposed Budget denied in 22-305</t>
  </si>
  <si>
    <t>Amended Proposed Budget of $22,080</t>
  </si>
  <si>
    <t>LC 82</t>
  </si>
  <si>
    <t>23-XXX</t>
  </si>
  <si>
    <t>(Acknowledgement Order)</t>
  </si>
  <si>
    <t>23-100</t>
  </si>
  <si>
    <t>UM 2114</t>
  </si>
  <si>
    <t>23-101</t>
  </si>
  <si>
    <t>23-102</t>
  </si>
  <si>
    <t>23-099</t>
  </si>
  <si>
    <t>Payment requested 3/21/23 and amend</t>
  </si>
  <si>
    <t>23-135</t>
  </si>
  <si>
    <t>23-086</t>
  </si>
  <si>
    <t>23-085</t>
  </si>
  <si>
    <t>23-087</t>
  </si>
  <si>
    <t>UE 420</t>
  </si>
  <si>
    <t>23-149</t>
  </si>
  <si>
    <t>23-150</t>
  </si>
  <si>
    <t>23-171</t>
  </si>
  <si>
    <t>23-172</t>
  </si>
  <si>
    <t>23-183</t>
  </si>
  <si>
    <t>Date</t>
  </si>
  <si>
    <t xml:space="preserve">Docket </t>
  </si>
  <si>
    <t>IF or JF</t>
  </si>
  <si>
    <t>Request Date</t>
  </si>
  <si>
    <t>Entered on Spreadsheet</t>
  </si>
  <si>
    <t>Docket</t>
  </si>
  <si>
    <t>2023 ELIGIBILITY AND CASE CERTIFICATION REQUESTS</t>
  </si>
  <si>
    <t>UG 462</t>
  </si>
  <si>
    <t>UM 2277</t>
  </si>
  <si>
    <t>IF</t>
  </si>
  <si>
    <t>UG 461</t>
  </si>
  <si>
    <t>AWEC Electric</t>
  </si>
  <si>
    <t>AWEC Gas</t>
  </si>
  <si>
    <t>JF</t>
  </si>
  <si>
    <t>UE 417</t>
  </si>
  <si>
    <t>LC 81</t>
  </si>
  <si>
    <t>Requested Date</t>
  </si>
  <si>
    <t>Not yet</t>
  </si>
  <si>
    <t>Amended Request</t>
  </si>
  <si>
    <t>23-197</t>
  </si>
  <si>
    <t>CAPO - Case Fund PGE</t>
  </si>
  <si>
    <t>23-199</t>
  </si>
  <si>
    <t>23-200</t>
  </si>
  <si>
    <t>23-203</t>
  </si>
  <si>
    <t>23-204</t>
  </si>
  <si>
    <t>23-151/23-202</t>
  </si>
  <si>
    <t>23-207</t>
  </si>
  <si>
    <t>23-165</t>
  </si>
  <si>
    <t>Errata Amended Proposed Budget $22,120, Amount available is only 7311.09</t>
  </si>
  <si>
    <t>Negative balance due to SBUA 2022 request, 6/26/23 negative balance cleared by CUB and AWEC Amendments</t>
  </si>
  <si>
    <t>23-267</t>
  </si>
  <si>
    <t>LC 83</t>
  </si>
  <si>
    <t>See amendment in 2023</t>
  </si>
  <si>
    <t>Amendment of 2022 budget, add'l 25k</t>
  </si>
  <si>
    <t>RC</t>
  </si>
  <si>
    <t>UM 2273</t>
  </si>
  <si>
    <t>OJTA</t>
  </si>
  <si>
    <t>Verde</t>
  </si>
  <si>
    <t>23-180</t>
  </si>
  <si>
    <t>RC requests 50% upfront</t>
  </si>
  <si>
    <t>23-269</t>
  </si>
  <si>
    <t>23-268</t>
  </si>
  <si>
    <t>23-270</t>
  </si>
  <si>
    <t>23-271</t>
  </si>
  <si>
    <t>Rogue Climate Case Fund PacifiCorp</t>
  </si>
  <si>
    <t>Community Energy Project, case certified Order No. 23-273</t>
  </si>
  <si>
    <t>23-272</t>
  </si>
  <si>
    <t>23-274</t>
  </si>
  <si>
    <t>23-273</t>
  </si>
  <si>
    <t>Community Energy Project</t>
  </si>
  <si>
    <t>Community Action Partnership of Oregon</t>
  </si>
  <si>
    <t>Release rmdr</t>
  </si>
  <si>
    <t>23-278</t>
  </si>
  <si>
    <t>23-279</t>
  </si>
  <si>
    <t>23-280</t>
  </si>
  <si>
    <t>amended 8/2/23</t>
  </si>
  <si>
    <t>amended 9/7/23</t>
  </si>
  <si>
    <t>CAPO/amended req. 9-7-23</t>
  </si>
  <si>
    <t>23-322</t>
  </si>
  <si>
    <t>23-323</t>
  </si>
  <si>
    <t>reallocate to UE 416 $25680.84</t>
  </si>
  <si>
    <t>Rmdr released</t>
  </si>
  <si>
    <t>23-335</t>
  </si>
  <si>
    <t>released</t>
  </si>
  <si>
    <t>23-336</t>
  </si>
  <si>
    <t>23-337</t>
  </si>
  <si>
    <t>23-343</t>
  </si>
  <si>
    <t>23-197/23-341/23-346</t>
  </si>
  <si>
    <t>23-123</t>
  </si>
  <si>
    <t>23-384</t>
  </si>
  <si>
    <t>23-201/23-304</t>
  </si>
  <si>
    <t xml:space="preserve">IF Case </t>
  </si>
  <si>
    <t>23-358</t>
  </si>
  <si>
    <t>23-368</t>
  </si>
  <si>
    <t>23-417</t>
  </si>
  <si>
    <t>9/25/23 Petition for certification</t>
  </si>
  <si>
    <t>23-381</t>
  </si>
  <si>
    <t>23-435</t>
  </si>
  <si>
    <t>23-434</t>
  </si>
  <si>
    <t>23-436</t>
  </si>
  <si>
    <t>UM 2276</t>
  </si>
  <si>
    <t>23-443</t>
  </si>
  <si>
    <t>23-444</t>
  </si>
  <si>
    <t>23-463</t>
  </si>
  <si>
    <t>23-464</t>
  </si>
  <si>
    <t>Final payment remainder released</t>
  </si>
  <si>
    <t>23-465</t>
  </si>
  <si>
    <t>23-466</t>
  </si>
  <si>
    <t>The requested amount was $731 above the available amount</t>
  </si>
  <si>
    <t>CEP PreCertification Request</t>
  </si>
  <si>
    <t>SBUA in UE 416</t>
  </si>
  <si>
    <t>Released back to Fund</t>
  </si>
  <si>
    <t>23-483</t>
  </si>
  <si>
    <t>PGE 2024 (UM 2264 in effect through 2027)</t>
  </si>
  <si>
    <t>CUB 2024</t>
  </si>
  <si>
    <t>Matching 2024</t>
  </si>
  <si>
    <t>Issue 2024</t>
  </si>
  <si>
    <t>Case Certified 2024</t>
  </si>
  <si>
    <t>PacifiCorp 2024 (UM 2264 in effect through 2027)</t>
  </si>
  <si>
    <t>NWN 2024 (UM 2264 in effect through 2027)</t>
  </si>
  <si>
    <t>CASCADE 2024 (UM 2264 in effect through 2027)</t>
  </si>
  <si>
    <t>AVISTA 2024 (UM 2264 effective through 2027)</t>
  </si>
  <si>
    <t>Case-Certified 2024</t>
  </si>
  <si>
    <t>IDAHO POWER 2024 (UM 2126 in effect through 2025)</t>
  </si>
  <si>
    <t>CUB MSP 2024</t>
  </si>
  <si>
    <t>AWEC MSP 2024</t>
  </si>
  <si>
    <t>Total 2024 Uncommitted</t>
  </si>
  <si>
    <t>Grant repayments in rows under grant check no. in notes</t>
  </si>
  <si>
    <t>UG 490</t>
  </si>
  <si>
    <t>UM 2312</t>
  </si>
  <si>
    <t>24-006</t>
  </si>
  <si>
    <t>24-007</t>
  </si>
  <si>
    <t>PGE PAC grant amts adjusted</t>
  </si>
  <si>
    <t>23-485</t>
  </si>
  <si>
    <t>24-015</t>
  </si>
  <si>
    <t>UE 425</t>
  </si>
  <si>
    <t>NOTICES OF INTENT 2024</t>
  </si>
  <si>
    <t>UE 433</t>
  </si>
  <si>
    <t>UE 434</t>
  </si>
  <si>
    <t>See also 2023</t>
  </si>
  <si>
    <t>See also 2024</t>
  </si>
  <si>
    <t>24-058</t>
  </si>
  <si>
    <t>24-057</t>
  </si>
  <si>
    <t>UE 426</t>
  </si>
  <si>
    <t>CEP Case Certification/Proposed Budget</t>
  </si>
  <si>
    <t>2024 ELIGIBILITY AND CASE CERTIFICATION REQUESTS</t>
  </si>
  <si>
    <t>PacifiCorp MSP 2024 (UM 1586 5th amended- effective 2/9/24 -12/31/25 )</t>
  </si>
  <si>
    <t>PacifiCorp MSP 2023 (UM 1586 4th amended effective through 2023)</t>
  </si>
  <si>
    <t>24-069</t>
  </si>
  <si>
    <t>24-060</t>
  </si>
  <si>
    <t>Payment request in 2024</t>
  </si>
  <si>
    <t>Payment and reallocation request in 2024</t>
  </si>
  <si>
    <t>24-126</t>
  </si>
  <si>
    <t>24-123</t>
  </si>
  <si>
    <t>24-127</t>
  </si>
  <si>
    <t>$21,422.01 reallocated in 2024 to UE 433/UE 434</t>
  </si>
  <si>
    <t>Reallocated from UM 2183 (2021 and 2022)</t>
  </si>
  <si>
    <t>Reallocated from LC 82</t>
  </si>
  <si>
    <t>Reallocated to UE 433 in 2024</t>
  </si>
  <si>
    <t>UE 435</t>
  </si>
  <si>
    <t>UE 436</t>
  </si>
  <si>
    <t>24-128</t>
  </si>
  <si>
    <t>24-129</t>
  </si>
  <si>
    <t>24-130</t>
  </si>
  <si>
    <t>24-131</t>
  </si>
  <si>
    <t>24-132</t>
  </si>
  <si>
    <t>CCC, CEP, Verde Joint Request Case Funds</t>
  </si>
  <si>
    <t>3/14/224</t>
  </si>
  <si>
    <t>24-135</t>
  </si>
  <si>
    <t>24-138</t>
  </si>
  <si>
    <t>3/14/2024 and 
5/20/2024</t>
  </si>
  <si>
    <t>24-246</t>
  </si>
  <si>
    <t>24-245</t>
  </si>
  <si>
    <t>24-239</t>
  </si>
  <si>
    <t>24-247</t>
  </si>
  <si>
    <t>The fund had only 94,564.44 remaining to grant.</t>
  </si>
  <si>
    <t>24-290</t>
  </si>
  <si>
    <t>24-289</t>
  </si>
  <si>
    <t>24-288</t>
  </si>
  <si>
    <t>24-071</t>
  </si>
  <si>
    <t>24-301</t>
  </si>
  <si>
    <t>24-280</t>
  </si>
  <si>
    <t>$3,917 returned to case fund</t>
  </si>
  <si>
    <t>Remainder returned to Issue Fund</t>
  </si>
  <si>
    <t>24-304</t>
  </si>
  <si>
    <t>remaining amount reallocated to UE 433</t>
  </si>
  <si>
    <t>Reallocated from UE 434</t>
  </si>
  <si>
    <t>24-341</t>
  </si>
  <si>
    <t>24-345</t>
  </si>
  <si>
    <t>24-342</t>
  </si>
  <si>
    <t>24-343</t>
  </si>
  <si>
    <t>24-346</t>
  </si>
  <si>
    <t>24-349</t>
  </si>
  <si>
    <t>CRITFC</t>
  </si>
  <si>
    <t>24-358</t>
  </si>
  <si>
    <t>24-357</t>
  </si>
  <si>
    <t>24-424</t>
  </si>
  <si>
    <t>24-423</t>
  </si>
  <si>
    <t>24-422</t>
  </si>
  <si>
    <t>24-459</t>
  </si>
  <si>
    <t>24-460</t>
  </si>
  <si>
    <t>24-461</t>
  </si>
  <si>
    <t>24-462</t>
  </si>
  <si>
    <t>Reallocated to UE 426</t>
  </si>
  <si>
    <t>24-463</t>
  </si>
  <si>
    <t>24-464</t>
  </si>
  <si>
    <t>UG 519</t>
  </si>
  <si>
    <t>UG 518</t>
  </si>
  <si>
    <t>24-465</t>
  </si>
  <si>
    <t>PacifiCorp 2025 (UM 2264 in effect through 2027)</t>
  </si>
  <si>
    <t>NWN 2025 (UM 2264 in effect through 2027)</t>
  </si>
  <si>
    <t>CASCADE 2025 (UM 2264 in effect through 2027)</t>
  </si>
  <si>
    <t>AVISTA 2025 (UM 2264 effective through 2027)</t>
  </si>
  <si>
    <t>IDAHO POWER 2025 (UM 2126 in effect through 2025)</t>
  </si>
  <si>
    <t>PacifiCorp MSP 2025 (UM 1586 5th amended- effective 2/9/24 -12/31/25 )</t>
  </si>
  <si>
    <t>2025 JUSTICE FUNDING  (UM 2211 Order No. 23-033 through 2024)</t>
  </si>
  <si>
    <t>NOTICES OF INTENT 2025</t>
  </si>
  <si>
    <t>25-020</t>
  </si>
  <si>
    <t>25-019</t>
  </si>
  <si>
    <t>25-021</t>
  </si>
  <si>
    <t>PGE 2025 (UM 2264 in effect through 2027)</t>
  </si>
  <si>
    <t>CUB 2025</t>
  </si>
  <si>
    <t>Matching 2025</t>
  </si>
  <si>
    <t>Issue 2025</t>
  </si>
  <si>
    <t>Case Certified 2025</t>
  </si>
  <si>
    <t>Case-Certified 2025</t>
  </si>
  <si>
    <t>CUB MSP 2025</t>
  </si>
  <si>
    <t>AWEC MSP 2025</t>
  </si>
  <si>
    <t>2025 Annual Grant</t>
  </si>
  <si>
    <t>25-113</t>
  </si>
  <si>
    <t>25-133</t>
  </si>
  <si>
    <t>25-077</t>
  </si>
  <si>
    <t>25-076</t>
  </si>
  <si>
    <t>25-134</t>
  </si>
  <si>
    <t>UE 452</t>
  </si>
  <si>
    <t>UE 450</t>
  </si>
  <si>
    <t>UE 451</t>
  </si>
  <si>
    <t>25-155</t>
  </si>
  <si>
    <t>25-159</t>
  </si>
  <si>
    <t>25-157</t>
  </si>
  <si>
    <t>25-156</t>
  </si>
  <si>
    <t>UG 520</t>
  </si>
  <si>
    <t>25-158</t>
  </si>
  <si>
    <t>UM 2377</t>
  </si>
  <si>
    <t>25-162</t>
  </si>
  <si>
    <t>$40,000 in addition to 45k requested previous year</t>
  </si>
  <si>
    <t>25-219</t>
  </si>
  <si>
    <t>24-220</t>
  </si>
  <si>
    <t>25-221</t>
  </si>
  <si>
    <t>UE 430</t>
  </si>
  <si>
    <t>25-253</t>
  </si>
  <si>
    <t>25-252</t>
  </si>
  <si>
    <t>25-251</t>
  </si>
  <si>
    <t>CUB's Additional Agreement</t>
  </si>
  <si>
    <t>25-303</t>
  </si>
  <si>
    <t>25-322</t>
  </si>
  <si>
    <t>lc 85</t>
  </si>
  <si>
    <t>25-310</t>
  </si>
  <si>
    <t>25-340</t>
  </si>
  <si>
    <t>CUB Supplemental 2025</t>
  </si>
  <si>
    <t>CUB Supplemental</t>
  </si>
  <si>
    <t>25-358</t>
  </si>
  <si>
    <t>25-360</t>
  </si>
  <si>
    <t>25-361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</si>
</sst>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0" x14ac:knownFonts="1">
    <font>
      <sz val="10"/>
      <name val="Arial"/>
    </font>
    <font>
      <sz val="10"/>
      <name val="Arial"/>
      <family val="2"/>
    </font>
    <font>
      <b/>
      <sz val="20"/>
      <name val="Arial"/>
      <family val="2"/>
    </font>
    <font>
      <b/>
      <u/>
      <sz val="10"/>
      <name val="Arial"/>
      <family val="2"/>
    </font>
    <font>
      <b/>
      <sz val="16"/>
      <name val="Arial"/>
      <family val="2"/>
    </font>
    <font>
      <u/>
      <sz val="10"/>
      <name val="Arial"/>
      <family val="2"/>
    </font>
    <font>
      <b/>
      <sz val="18"/>
      <name val="Arial"/>
      <family val="2"/>
    </font>
    <font>
      <sz val="8"/>
      <name val="Arial"/>
      <family val="2"/>
    </font>
    <font>
      <sz val="10"/>
      <name val="Arial"/>
      <family val="2"/>
    </font>
    <font>
      <b/>
      <sz val="10"/>
      <name val="Arial"/>
      <family val="2"/>
    </font>
    <font>
      <b/>
      <sz val="10"/>
      <name val="Arial"/>
      <family val="2"/>
    </font>
    <font>
      <sz val="10"/>
      <name val="Arial"/>
      <family val="2"/>
    </font>
    <font>
      <sz val="8"/>
      <color indexed="81"/>
      <name val="Tahoma"/>
      <family val="2"/>
    </font>
    <font>
      <b/>
      <sz val="8"/>
      <color indexed="81"/>
      <name val="Tahoma"/>
      <family val="2"/>
    </font>
    <font>
      <sz val="8"/>
      <name val="Arial"/>
      <family val="2"/>
    </font>
    <font>
      <sz val="10"/>
      <color indexed="21"/>
      <name val="Arial"/>
      <family val="2"/>
    </font>
    <font>
      <b/>
      <sz val="8"/>
      <name val="Arial"/>
      <family val="2"/>
    </font>
    <font>
      <sz val="9"/>
      <name val="Arial"/>
      <family val="2"/>
    </font>
    <font>
      <sz val="10"/>
      <color theme="8" tint="-0.249977111117893"/>
      <name val="Arial"/>
      <family val="2"/>
    </font>
    <font>
      <sz val="10"/>
      <color rgb="FF00B0F0"/>
      <name val="Arial"/>
      <family val="2"/>
    </font>
    <font>
      <sz val="8"/>
      <color rgb="FF00B0F0"/>
      <name val="Arial"/>
      <family val="2"/>
    </font>
    <font>
      <sz val="10"/>
      <color theme="8" tint="-0.499984740745262"/>
      <name val="Arial"/>
      <family val="2"/>
    </font>
    <font>
      <sz val="10"/>
      <color theme="4"/>
      <name val="Arial"/>
      <family val="2"/>
    </font>
    <font>
      <sz val="10"/>
      <name val="Arial"/>
      <family val="2"/>
    </font>
    <font>
      <u/>
      <sz val="10"/>
      <color rgb="FFFF0000"/>
      <name val="Arial"/>
      <family val="2"/>
    </font>
    <font>
      <u/>
      <sz val="8"/>
      <name val="Arial"/>
      <family val="2"/>
    </font>
    <font>
      <sz val="16"/>
      <name val="Arial"/>
      <family val="2"/>
    </font>
    <font>
      <u/>
      <sz val="10"/>
      <color theme="10"/>
      <name val="Arial"/>
      <family val="2"/>
    </font>
    <font>
      <sz val="8"/>
      <name val="Arial"/>
    </font>
    <font>
      <b/>
      <u/>
      <sz val="8"/>
      <name val="Arial"/>
      <family val="2"/>
    </font>
  </fonts>
  <fills count="22">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00B0F0"/>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BDE0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99">
    <border>
      <left/>
      <right/>
      <top/>
      <bottom/>
      <diagonal/>
    </border>
    <border>
      <left style="thin">
        <color indexed="22"/>
      </left>
      <right style="thin">
        <color indexed="22"/>
      </right>
      <top style="thin">
        <color indexed="22"/>
      </top>
      <bottom style="thin">
        <color indexed="2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medium">
        <color indexed="64"/>
      </right>
      <top style="thin">
        <color indexed="22"/>
      </top>
      <bottom style="thin">
        <color indexed="22"/>
      </bottom>
      <diagonal/>
    </border>
    <border>
      <left/>
      <right style="medium">
        <color indexed="64"/>
      </right>
      <top/>
      <bottom/>
      <diagonal/>
    </border>
    <border>
      <left style="medium">
        <color indexed="64"/>
      </left>
      <right/>
      <top/>
      <bottom/>
      <diagonal/>
    </border>
    <border>
      <left style="thin">
        <color indexed="22"/>
      </left>
      <right style="thin">
        <color indexed="22"/>
      </right>
      <top style="thin">
        <color indexed="22"/>
      </top>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top style="thin">
        <color indexed="22"/>
      </top>
      <bottom/>
      <diagonal/>
    </border>
    <border>
      <left/>
      <right style="medium">
        <color indexed="64"/>
      </right>
      <top style="thin">
        <color indexed="22"/>
      </top>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diagonal/>
    </border>
    <border>
      <left style="medium">
        <color indexed="64"/>
      </left>
      <right style="thin">
        <color indexed="22"/>
      </right>
      <top/>
      <bottom/>
      <diagonal/>
    </border>
    <border>
      <left style="medium">
        <color indexed="64"/>
      </left>
      <right style="thin">
        <color indexed="22"/>
      </right>
      <top/>
      <bottom style="thin">
        <color indexed="22"/>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n">
        <color indexed="22"/>
      </left>
      <right style="medium">
        <color indexed="64"/>
      </right>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top/>
      <bottom style="thick">
        <color indexed="64"/>
      </bottom>
      <diagonal/>
    </border>
    <border>
      <left style="thick">
        <color indexed="64"/>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22"/>
      </left>
      <right style="medium">
        <color indexed="64"/>
      </right>
      <top/>
      <bottom/>
      <diagonal/>
    </border>
    <border>
      <left/>
      <right style="medium">
        <color indexed="64"/>
      </right>
      <top style="thin">
        <color indexed="22"/>
      </top>
      <bottom style="thin">
        <color indexed="22"/>
      </bottom>
      <diagonal/>
    </border>
    <border>
      <left style="medium">
        <color indexed="64"/>
      </left>
      <right style="medium">
        <color indexed="64"/>
      </right>
      <top style="thin">
        <color indexed="22"/>
      </top>
      <bottom/>
      <diagonal/>
    </border>
    <border>
      <left style="thin">
        <color indexed="22"/>
      </left>
      <right/>
      <top style="thin">
        <color indexed="22"/>
      </top>
      <bottom style="thin">
        <color indexed="22"/>
      </bottom>
      <diagonal/>
    </border>
    <border>
      <left style="thin">
        <color indexed="22"/>
      </left>
      <right style="thin">
        <color indexed="22"/>
      </right>
      <top style="thin">
        <color theme="0" tint="-0.14999847407452621"/>
      </top>
      <bottom style="thin">
        <color indexed="22"/>
      </bottom>
      <diagonal/>
    </border>
    <border>
      <left style="thin">
        <color indexed="22"/>
      </left>
      <right/>
      <top style="thin">
        <color theme="0" tint="-0.14999847407452621"/>
      </top>
      <bottom style="thin">
        <color indexed="22"/>
      </bottom>
      <diagonal/>
    </border>
    <border>
      <left style="thin">
        <color indexed="22"/>
      </left>
      <right/>
      <top style="thin">
        <color indexed="22"/>
      </top>
      <bottom/>
      <diagonal/>
    </border>
    <border>
      <left style="thin">
        <color indexed="22"/>
      </left>
      <right style="thin">
        <color indexed="22"/>
      </right>
      <top style="thin">
        <color indexed="22"/>
      </top>
      <bottom style="thin">
        <color theme="0" tint="-0.249977111117893"/>
      </bottom>
      <diagonal/>
    </border>
    <border>
      <left style="thin">
        <color indexed="22"/>
      </left>
      <right style="medium">
        <color indexed="64"/>
      </right>
      <top style="thin">
        <color indexed="22"/>
      </top>
      <bottom style="thin">
        <color theme="0" tint="-0.249977111117893"/>
      </bottom>
      <diagonal/>
    </border>
    <border>
      <left/>
      <right style="thin">
        <color indexed="22"/>
      </right>
      <top style="thin">
        <color indexed="22"/>
      </top>
      <bottom/>
      <diagonal/>
    </border>
    <border>
      <left/>
      <right/>
      <top style="thin">
        <color indexed="22"/>
      </top>
      <bottom/>
      <diagonal/>
    </border>
    <border>
      <left/>
      <right/>
      <top style="thin">
        <color theme="0" tint="-0.249977111117893"/>
      </top>
      <bottom style="thin">
        <color indexed="22"/>
      </bottom>
      <diagonal/>
    </border>
    <border>
      <left/>
      <right/>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style="thin">
        <color theme="0" tint="-0.24994659260841701"/>
      </bottom>
      <diagonal/>
    </border>
    <border>
      <left/>
      <right style="thin">
        <color indexed="22"/>
      </right>
      <top/>
      <bottom style="thin">
        <color indexed="22"/>
      </bottom>
      <diagonal/>
    </border>
    <border>
      <left style="thin">
        <color indexed="22"/>
      </left>
      <right/>
      <top/>
      <bottom style="thin">
        <color indexed="22"/>
      </bottom>
      <diagonal/>
    </border>
    <border>
      <left style="thin">
        <color indexed="22"/>
      </left>
      <right style="thin">
        <color indexed="64"/>
      </right>
      <top style="thin">
        <color indexed="64"/>
      </top>
      <bottom/>
      <diagonal/>
    </border>
    <border>
      <left style="thin">
        <color indexed="22"/>
      </left>
      <right style="thin">
        <color indexed="64"/>
      </right>
      <top style="thin">
        <color indexed="22"/>
      </top>
      <bottom style="thin">
        <color indexed="22"/>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medium">
        <color indexed="64"/>
      </left>
      <right style="medium">
        <color indexed="64"/>
      </right>
      <top/>
      <bottom style="thin">
        <color indexed="22"/>
      </bottom>
      <diagonal/>
    </border>
    <border>
      <left style="thin">
        <color indexed="22"/>
      </left>
      <right style="thin">
        <color indexed="22"/>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auto="1"/>
      </right>
      <top style="medium">
        <color theme="0" tint="-0.24994659260841701"/>
      </top>
      <bottom style="medium">
        <color theme="0" tint="-0.24994659260841701"/>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34998626667073579"/>
      </left>
      <right style="thin">
        <color theme="0" tint="-0.34998626667073579"/>
      </right>
      <top style="thin">
        <color theme="0" tint="-0.14999847407452621"/>
      </top>
      <bottom/>
      <diagonal/>
    </border>
    <border>
      <left style="thin">
        <color indexed="22"/>
      </left>
      <right/>
      <top style="thin">
        <color indexed="22"/>
      </top>
      <bottom style="medium">
        <color indexed="64"/>
      </bottom>
      <diagonal/>
    </border>
    <border>
      <left style="thin">
        <color indexed="64"/>
      </left>
      <right style="thin">
        <color indexed="64"/>
      </right>
      <top/>
      <bottom/>
      <diagonal/>
    </border>
    <border>
      <left style="thin">
        <color indexed="22"/>
      </left>
      <right/>
      <top/>
      <bottom/>
      <diagonal/>
    </border>
    <border>
      <left/>
      <right style="thin">
        <color indexed="22"/>
      </right>
      <top/>
      <bottom/>
      <diagonal/>
    </border>
    <border>
      <left style="thin">
        <color indexed="22"/>
      </left>
      <right/>
      <top style="thin">
        <color indexed="64"/>
      </top>
      <bottom style="thin">
        <color indexed="22"/>
      </bottom>
      <diagonal/>
    </border>
    <border>
      <left style="thin">
        <color indexed="22"/>
      </left>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s>
  <cellStyleXfs count="3">
    <xf numFmtId="0" fontId="0" fillId="0" borderId="0"/>
    <xf numFmtId="44" fontId="23" fillId="0" borderId="0" applyFont="0" applyFill="0" applyBorder="0" applyAlignment="0" applyProtection="0"/>
    <xf numFmtId="0" fontId="27" fillId="0" borderId="0" applyNumberFormat="0" applyFill="0" applyBorder="0" applyAlignment="0" applyProtection="0"/>
  </cellStyleXfs>
  <cellXfs count="613">
    <xf numFmtId="0" fontId="0" fillId="0" borderId="0" xfId="0"/>
    <xf numFmtId="0" fontId="2" fillId="0" borderId="0" xfId="0" applyFont="1"/>
    <xf numFmtId="0" fontId="3" fillId="0" borderId="0" xfId="0" applyFont="1" applyAlignment="1">
      <alignment horizontal="center"/>
    </xf>
    <xf numFmtId="0" fontId="3" fillId="0" borderId="0" xfId="0" applyFont="1"/>
    <xf numFmtId="0" fontId="0" fillId="2" borderId="2" xfId="0" applyFill="1" applyBorder="1"/>
    <xf numFmtId="0" fontId="6" fillId="2" borderId="3" xfId="0" applyFont="1" applyFill="1" applyBorder="1"/>
    <xf numFmtId="0" fontId="0" fillId="2" borderId="3" xfId="0" applyFill="1" applyBorder="1"/>
    <xf numFmtId="0" fontId="0" fillId="2" borderId="4" xfId="0" applyFill="1" applyBorder="1"/>
    <xf numFmtId="14" fontId="0" fillId="0" borderId="0" xfId="0" applyNumberFormat="1"/>
    <xf numFmtId="0" fontId="4" fillId="0" borderId="0" xfId="0" applyFont="1"/>
    <xf numFmtId="0" fontId="8"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164" fontId="0" fillId="0" borderId="0" xfId="0" applyNumberFormat="1" applyAlignment="1">
      <alignment horizontal="center"/>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164" fontId="1" fillId="0" borderId="11" xfId="0" applyNumberFormat="1" applyFont="1" applyBorder="1" applyAlignment="1">
      <alignment horizontal="center"/>
    </xf>
    <xf numFmtId="164" fontId="1" fillId="0" borderId="12" xfId="0" applyNumberFormat="1" applyFont="1" applyBorder="1" applyAlignment="1">
      <alignment horizontal="center"/>
    </xf>
    <xf numFmtId="164" fontId="1" fillId="0" borderId="13" xfId="0" applyNumberFormat="1" applyFont="1" applyBorder="1" applyAlignment="1">
      <alignment horizontal="center"/>
    </xf>
    <xf numFmtId="164" fontId="1" fillId="0" borderId="14" xfId="0" applyNumberFormat="1" applyFont="1" applyBorder="1" applyAlignment="1">
      <alignment horizontal="center"/>
    </xf>
    <xf numFmtId="164" fontId="1" fillId="0" borderId="1" xfId="0" applyNumberFormat="1" applyFont="1" applyBorder="1" applyAlignment="1">
      <alignment horizontal="center"/>
    </xf>
    <xf numFmtId="164" fontId="1" fillId="0" borderId="15" xfId="0" applyNumberFormat="1" applyFont="1" applyBorder="1" applyAlignment="1">
      <alignment horizontal="center"/>
    </xf>
    <xf numFmtId="164" fontId="0" fillId="0" borderId="16"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64" fontId="9" fillId="0" borderId="11" xfId="0" applyNumberFormat="1" applyFont="1" applyBorder="1" applyAlignment="1">
      <alignment horizontal="center"/>
    </xf>
    <xf numFmtId="164" fontId="9" fillId="0" borderId="14" xfId="0" applyNumberFormat="1" applyFont="1" applyBorder="1" applyAlignment="1">
      <alignment horizontal="center"/>
    </xf>
    <xf numFmtId="164" fontId="1" fillId="3" borderId="19" xfId="0" applyNumberFormat="1" applyFont="1" applyFill="1" applyBorder="1" applyAlignment="1">
      <alignment horizontal="center"/>
    </xf>
    <xf numFmtId="164" fontId="11" fillId="0" borderId="1" xfId="0" applyNumberFormat="1" applyFont="1" applyBorder="1" applyAlignment="1">
      <alignment horizontal="center"/>
    </xf>
    <xf numFmtId="164" fontId="11" fillId="0" borderId="15" xfId="0" applyNumberFormat="1" applyFont="1" applyBorder="1" applyAlignment="1">
      <alignment horizontal="center"/>
    </xf>
    <xf numFmtId="164" fontId="11" fillId="3" borderId="19" xfId="0" applyNumberFormat="1" applyFont="1" applyFill="1" applyBorder="1" applyAlignment="1">
      <alignment horizontal="center"/>
    </xf>
    <xf numFmtId="0" fontId="5" fillId="0" borderId="20" xfId="0" applyFont="1" applyBorder="1" applyAlignment="1">
      <alignment horizontal="center"/>
    </xf>
    <xf numFmtId="164" fontId="0" fillId="4" borderId="0" xfId="0" applyNumberFormat="1" applyFill="1" applyAlignment="1">
      <alignment horizontal="center"/>
    </xf>
    <xf numFmtId="0" fontId="5" fillId="0" borderId="21" xfId="0" applyFont="1" applyBorder="1" applyAlignment="1">
      <alignment horizontal="center"/>
    </xf>
    <xf numFmtId="164" fontId="0" fillId="0" borderId="0" xfId="0" applyNumberFormat="1"/>
    <xf numFmtId="164" fontId="1" fillId="0" borderId="1" xfId="0" applyNumberFormat="1" applyFont="1" applyBorder="1" applyAlignment="1">
      <alignment horizontal="center" vertical="center"/>
    </xf>
    <xf numFmtId="164" fontId="1" fillId="0" borderId="24" xfId="0" applyNumberFormat="1" applyFont="1" applyBorder="1" applyAlignment="1">
      <alignment horizontal="center"/>
    </xf>
    <xf numFmtId="164" fontId="1" fillId="0" borderId="15" xfId="0" applyNumberFormat="1" applyFont="1" applyBorder="1" applyAlignment="1">
      <alignment horizontal="center" wrapText="1"/>
    </xf>
    <xf numFmtId="164" fontId="9" fillId="4" borderId="0" xfId="0" applyNumberFormat="1" applyFont="1" applyFill="1" applyAlignment="1">
      <alignment horizontal="center"/>
    </xf>
    <xf numFmtId="4" fontId="0" fillId="0" borderId="0" xfId="0" applyNumberFormat="1"/>
    <xf numFmtId="0" fontId="0" fillId="0" borderId="0" xfId="0" applyAlignment="1">
      <alignment horizontal="center" vertical="top"/>
    </xf>
    <xf numFmtId="0" fontId="14" fillId="0" borderId="0" xfId="0" applyFont="1" applyAlignment="1">
      <alignment horizontal="center"/>
    </xf>
    <xf numFmtId="0" fontId="0" fillId="0" borderId="0" xfId="0" applyAlignment="1">
      <alignment wrapText="1"/>
    </xf>
    <xf numFmtId="0" fontId="1" fillId="0" borderId="12" xfId="0" applyFont="1" applyBorder="1" applyAlignment="1">
      <alignment horizontal="center"/>
    </xf>
    <xf numFmtId="14" fontId="1" fillId="0" borderId="12" xfId="0" applyNumberFormat="1" applyFont="1" applyBorder="1" applyAlignment="1">
      <alignment horizontal="center"/>
    </xf>
    <xf numFmtId="0" fontId="1" fillId="0" borderId="1" xfId="0" applyFont="1" applyBorder="1" applyAlignment="1">
      <alignment horizontal="center"/>
    </xf>
    <xf numFmtId="0" fontId="1" fillId="0" borderId="22" xfId="0" applyFont="1" applyBorder="1" applyAlignment="1">
      <alignment horizontal="center"/>
    </xf>
    <xf numFmtId="14" fontId="1" fillId="0" borderId="22" xfId="0" applyNumberFormat="1" applyFont="1" applyBorder="1" applyAlignment="1">
      <alignment horizontal="center"/>
    </xf>
    <xf numFmtId="0" fontId="0" fillId="0" borderId="17" xfId="0" applyBorder="1" applyAlignment="1">
      <alignment horizontal="center"/>
    </xf>
    <xf numFmtId="14" fontId="1" fillId="0" borderId="1" xfId="0" applyNumberFormat="1" applyFont="1" applyBorder="1" applyAlignment="1">
      <alignment horizontal="center"/>
    </xf>
    <xf numFmtId="164" fontId="9" fillId="0" borderId="17" xfId="0" applyNumberFormat="1" applyFont="1" applyBorder="1" applyAlignment="1">
      <alignment horizontal="right"/>
    </xf>
    <xf numFmtId="164" fontId="1" fillId="0" borderId="12" xfId="0" applyNumberFormat="1" applyFont="1" applyBorder="1" applyAlignment="1">
      <alignment horizontal="right"/>
    </xf>
    <xf numFmtId="164" fontId="1" fillId="0" borderId="1" xfId="0" applyNumberFormat="1" applyFont="1" applyBorder="1" applyAlignment="1">
      <alignment horizontal="right"/>
    </xf>
    <xf numFmtId="164" fontId="1" fillId="3" borderId="19" xfId="0" applyNumberFormat="1" applyFont="1" applyFill="1" applyBorder="1" applyAlignment="1">
      <alignment horizontal="right"/>
    </xf>
    <xf numFmtId="164" fontId="9" fillId="0" borderId="1" xfId="0" applyNumberFormat="1" applyFont="1" applyBorder="1" applyAlignment="1">
      <alignment horizontal="right"/>
    </xf>
    <xf numFmtId="164" fontId="10" fillId="0" borderId="1" xfId="0" applyNumberFormat="1" applyFont="1" applyBorder="1" applyAlignment="1">
      <alignment horizontal="right"/>
    </xf>
    <xf numFmtId="164" fontId="11" fillId="0" borderId="1" xfId="0" applyNumberFormat="1" applyFont="1" applyBorder="1" applyAlignment="1">
      <alignment horizontal="right"/>
    </xf>
    <xf numFmtId="164" fontId="1" fillId="0" borderId="1" xfId="0" applyNumberFormat="1" applyFont="1" applyBorder="1" applyAlignment="1">
      <alignment horizontal="right" vertical="center"/>
    </xf>
    <xf numFmtId="164" fontId="11" fillId="3" borderId="19" xfId="0" applyNumberFormat="1" applyFont="1" applyFill="1" applyBorder="1" applyAlignment="1">
      <alignment horizontal="right"/>
    </xf>
    <xf numFmtId="0" fontId="0" fillId="0" borderId="3" xfId="0" applyBorder="1"/>
    <xf numFmtId="0" fontId="0" fillId="0" borderId="29" xfId="0" applyBorder="1" applyAlignment="1">
      <alignment wrapText="1"/>
    </xf>
    <xf numFmtId="0" fontId="0" fillId="0" borderId="30" xfId="0" applyBorder="1" applyAlignment="1">
      <alignment wrapText="1"/>
    </xf>
    <xf numFmtId="0" fontId="0" fillId="0" borderId="29" xfId="0" applyBorder="1"/>
    <xf numFmtId="4" fontId="0" fillId="0" borderId="30" xfId="0" applyNumberFormat="1" applyBorder="1"/>
    <xf numFmtId="0" fontId="0" fillId="0" borderId="31" xfId="0" applyBorder="1"/>
    <xf numFmtId="0" fontId="0" fillId="0" borderId="32" xfId="0" applyBorder="1"/>
    <xf numFmtId="4" fontId="0" fillId="0" borderId="32" xfId="0" applyNumberFormat="1" applyBorder="1"/>
    <xf numFmtId="4" fontId="0" fillId="0" borderId="33" xfId="0" applyNumberFormat="1" applyBorder="1"/>
    <xf numFmtId="164" fontId="9" fillId="0" borderId="0" xfId="0" applyNumberFormat="1" applyFont="1" applyAlignment="1">
      <alignment horizontal="right"/>
    </xf>
    <xf numFmtId="4" fontId="1" fillId="0" borderId="0" xfId="0" applyNumberFormat="1" applyFont="1"/>
    <xf numFmtId="4" fontId="9" fillId="0" borderId="0" xfId="0" applyNumberFormat="1" applyFont="1"/>
    <xf numFmtId="0" fontId="9" fillId="0" borderId="0" xfId="0" applyFont="1" applyAlignment="1">
      <alignment wrapText="1"/>
    </xf>
    <xf numFmtId="0" fontId="0" fillId="0" borderId="34" xfId="0" applyBorder="1"/>
    <xf numFmtId="164" fontId="8" fillId="0" borderId="24" xfId="0" applyNumberFormat="1" applyFont="1" applyBorder="1" applyAlignment="1">
      <alignment horizontal="center"/>
    </xf>
    <xf numFmtId="164" fontId="8" fillId="0" borderId="15" xfId="0" applyNumberFormat="1" applyFont="1" applyBorder="1" applyAlignment="1">
      <alignment horizontal="center" wrapText="1"/>
    </xf>
    <xf numFmtId="164" fontId="8" fillId="0" borderId="24" xfId="0" applyNumberFormat="1" applyFont="1" applyBorder="1" applyAlignment="1">
      <alignment horizontal="center" wrapText="1"/>
    </xf>
    <xf numFmtId="164" fontId="8" fillId="0" borderId="22" xfId="0" applyNumberFormat="1" applyFont="1" applyBorder="1" applyAlignment="1">
      <alignment horizontal="right"/>
    </xf>
    <xf numFmtId="164" fontId="8" fillId="0" borderId="1" xfId="0" applyNumberFormat="1" applyFont="1" applyBorder="1" applyAlignment="1">
      <alignment horizontal="right"/>
    </xf>
    <xf numFmtId="0" fontId="8" fillId="0" borderId="29" xfId="0" applyFont="1" applyBorder="1"/>
    <xf numFmtId="0" fontId="8" fillId="0" borderId="15" xfId="0" applyFont="1" applyBorder="1" applyAlignment="1">
      <alignment horizontal="center" wrapText="1"/>
    </xf>
    <xf numFmtId="0" fontId="0" fillId="0" borderId="1" xfId="0" applyBorder="1" applyAlignment="1">
      <alignment horizontal="center"/>
    </xf>
    <xf numFmtId="0" fontId="5" fillId="0" borderId="0" xfId="0" applyFont="1" applyAlignment="1">
      <alignment horizontal="right"/>
    </xf>
    <xf numFmtId="164" fontId="0" fillId="0" borderId="0" xfId="0" applyNumberFormat="1" applyAlignment="1">
      <alignment horizontal="right"/>
    </xf>
    <xf numFmtId="164" fontId="0" fillId="4" borderId="0" xfId="0" applyNumberFormat="1" applyFill="1" applyAlignment="1">
      <alignment horizontal="right"/>
    </xf>
    <xf numFmtId="164" fontId="9" fillId="4" borderId="0" xfId="0" applyNumberFormat="1" applyFont="1" applyFill="1" applyAlignment="1">
      <alignment horizontal="right"/>
    </xf>
    <xf numFmtId="0" fontId="0" fillId="0" borderId="1" xfId="0" applyBorder="1"/>
    <xf numFmtId="164" fontId="0" fillId="0" borderId="24" xfId="0" applyNumberFormat="1" applyBorder="1" applyAlignment="1">
      <alignment horizontal="center"/>
    </xf>
    <xf numFmtId="0" fontId="8" fillId="0" borderId="0" xfId="0" applyFont="1"/>
    <xf numFmtId="0" fontId="0" fillId="0" borderId="37" xfId="0" applyBorder="1"/>
    <xf numFmtId="0" fontId="0" fillId="0" borderId="38" xfId="0" applyBorder="1"/>
    <xf numFmtId="0" fontId="0" fillId="0" borderId="39" xfId="0" applyBorder="1"/>
    <xf numFmtId="4" fontId="8" fillId="0" borderId="0" xfId="0" applyNumberFormat="1" applyFont="1"/>
    <xf numFmtId="164" fontId="0" fillId="0" borderId="11" xfId="0" applyNumberFormat="1" applyBorder="1" applyAlignment="1">
      <alignment horizontal="center"/>
    </xf>
    <xf numFmtId="164" fontId="8" fillId="0" borderId="14" xfId="0" applyNumberFormat="1" applyFont="1" applyBorder="1" applyAlignment="1">
      <alignment horizontal="center"/>
    </xf>
    <xf numFmtId="164" fontId="0" fillId="0" borderId="36" xfId="0" applyNumberFormat="1" applyBorder="1" applyAlignment="1">
      <alignment horizontal="center"/>
    </xf>
    <xf numFmtId="164" fontId="1" fillId="0" borderId="27" xfId="0" applyNumberFormat="1" applyFont="1" applyBorder="1" applyAlignment="1">
      <alignment horizontal="center"/>
    </xf>
    <xf numFmtId="164" fontId="1" fillId="0" borderId="27" xfId="0" applyNumberFormat="1" applyFont="1" applyBorder="1" applyAlignment="1">
      <alignment horizontal="right"/>
    </xf>
    <xf numFmtId="164" fontId="11" fillId="0" borderId="16" xfId="0" applyNumberFormat="1" applyFont="1" applyBorder="1" applyAlignment="1">
      <alignment horizontal="center"/>
    </xf>
    <xf numFmtId="164" fontId="11" fillId="0" borderId="17" xfId="0" applyNumberFormat="1" applyFont="1" applyBorder="1" applyAlignment="1">
      <alignment horizontal="center"/>
    </xf>
    <xf numFmtId="164" fontId="11" fillId="0" borderId="18" xfId="0" applyNumberFormat="1" applyFont="1" applyBorder="1" applyAlignment="1">
      <alignment horizontal="center"/>
    </xf>
    <xf numFmtId="4" fontId="8" fillId="0" borderId="0" xfId="0" applyNumberFormat="1" applyFont="1" applyAlignment="1">
      <alignment wrapText="1"/>
    </xf>
    <xf numFmtId="4" fontId="9" fillId="0" borderId="0" xfId="0" applyNumberFormat="1" applyFont="1" applyAlignment="1">
      <alignment wrapText="1"/>
    </xf>
    <xf numFmtId="0" fontId="0" fillId="0" borderId="41" xfId="0" applyBorder="1"/>
    <xf numFmtId="0" fontId="0" fillId="0" borderId="42" xfId="0" applyBorder="1"/>
    <xf numFmtId="0" fontId="0" fillId="0" borderId="43" xfId="0" applyBorder="1"/>
    <xf numFmtId="0" fontId="0" fillId="0" borderId="6" xfId="0" applyBorder="1"/>
    <xf numFmtId="0" fontId="0" fillId="0" borderId="44" xfId="0" applyBorder="1"/>
    <xf numFmtId="0" fontId="0" fillId="0" borderId="48" xfId="0" applyBorder="1"/>
    <xf numFmtId="0" fontId="0" fillId="0" borderId="49" xfId="0" applyBorder="1"/>
    <xf numFmtId="0" fontId="8" fillId="0" borderId="0" xfId="0" applyFont="1" applyAlignment="1">
      <alignment wrapText="1"/>
    </xf>
    <xf numFmtId="0" fontId="0" fillId="0" borderId="30" xfId="0" applyBorder="1"/>
    <xf numFmtId="0" fontId="0" fillId="0" borderId="33" xfId="0" applyBorder="1"/>
    <xf numFmtId="14" fontId="1" fillId="0" borderId="1" xfId="0" applyNumberFormat="1" applyFont="1" applyBorder="1" applyAlignment="1">
      <alignment horizontal="center" vertical="center"/>
    </xf>
    <xf numFmtId="0" fontId="1" fillId="0" borderId="29" xfId="0" applyFont="1" applyBorder="1"/>
    <xf numFmtId="0" fontId="1" fillId="0" borderId="45" xfId="0" applyFont="1" applyBorder="1"/>
    <xf numFmtId="0" fontId="1" fillId="0" borderId="46" xfId="0" applyFont="1" applyBorder="1"/>
    <xf numFmtId="0" fontId="1" fillId="0" borderId="0" xfId="0" applyFont="1"/>
    <xf numFmtId="14" fontId="1" fillId="3" borderId="19" xfId="0" applyNumberFormat="1" applyFont="1" applyFill="1" applyBorder="1" applyAlignment="1">
      <alignment horizontal="center"/>
    </xf>
    <xf numFmtId="14" fontId="0" fillId="0" borderId="17" xfId="0" applyNumberFormat="1" applyBorder="1" applyAlignment="1">
      <alignment horizontal="center"/>
    </xf>
    <xf numFmtId="0" fontId="7" fillId="0" borderId="0" xfId="0" applyFont="1"/>
    <xf numFmtId="164" fontId="8" fillId="0" borderId="0" xfId="0" applyNumberFormat="1" applyFont="1" applyAlignment="1">
      <alignment horizontal="right"/>
    </xf>
    <xf numFmtId="14" fontId="1" fillId="0" borderId="12" xfId="0" applyNumberFormat="1" applyFont="1" applyBorder="1" applyAlignment="1">
      <alignment horizontal="right"/>
    </xf>
    <xf numFmtId="164" fontId="1" fillId="0" borderId="36" xfId="0" applyNumberFormat="1" applyFont="1" applyBorder="1" applyAlignment="1">
      <alignment horizontal="center"/>
    </xf>
    <xf numFmtId="14" fontId="1" fillId="0" borderId="1" xfId="0" applyNumberFormat="1" applyFont="1" applyBorder="1" applyAlignment="1">
      <alignment horizontal="right"/>
    </xf>
    <xf numFmtId="4" fontId="1" fillId="0" borderId="1" xfId="0" applyNumberFormat="1" applyFont="1" applyBorder="1" applyAlignment="1">
      <alignment horizontal="center"/>
    </xf>
    <xf numFmtId="0" fontId="0" fillId="0" borderId="14" xfId="0" applyBorder="1"/>
    <xf numFmtId="0" fontId="0" fillId="0" borderId="15" xfId="0" applyBorder="1"/>
    <xf numFmtId="164" fontId="1" fillId="0" borderId="40" xfId="0" applyNumberFormat="1" applyFont="1" applyBorder="1" applyAlignment="1">
      <alignment horizontal="center"/>
    </xf>
    <xf numFmtId="164" fontId="7" fillId="0" borderId="24" xfId="0" applyNumberFormat="1" applyFont="1" applyBorder="1" applyAlignment="1">
      <alignment horizontal="center" wrapText="1"/>
    </xf>
    <xf numFmtId="164" fontId="1" fillId="0" borderId="22" xfId="0" applyNumberFormat="1" applyFont="1" applyBorder="1" applyAlignment="1">
      <alignment horizontal="center" vertical="center"/>
    </xf>
    <xf numFmtId="14" fontId="1" fillId="0" borderId="22" xfId="0" applyNumberFormat="1" applyFont="1" applyBorder="1" applyAlignment="1">
      <alignment horizontal="center" vertical="center"/>
    </xf>
    <xf numFmtId="164" fontId="11" fillId="0" borderId="23" xfId="0" applyNumberFormat="1" applyFont="1" applyBorder="1" applyAlignment="1">
      <alignment horizontal="center"/>
    </xf>
    <xf numFmtId="164" fontId="8" fillId="0" borderId="22" xfId="0" applyNumberFormat="1" applyFont="1" applyBorder="1" applyAlignment="1">
      <alignment horizontal="center" vertical="center"/>
    </xf>
    <xf numFmtId="0" fontId="16" fillId="0" borderId="0" xfId="0" applyFont="1" applyAlignment="1">
      <alignment horizontal="left"/>
    </xf>
    <xf numFmtId="0" fontId="0" fillId="0" borderId="0" xfId="0" applyAlignment="1">
      <alignment horizontal="left"/>
    </xf>
    <xf numFmtId="0" fontId="0" fillId="0" borderId="20" xfId="0" applyBorder="1" applyAlignment="1">
      <alignment horizontal="left"/>
    </xf>
    <xf numFmtId="164" fontId="1" fillId="0" borderId="22" xfId="0" applyNumberFormat="1" applyFont="1" applyBorder="1" applyAlignment="1">
      <alignment horizontal="right" vertical="center"/>
    </xf>
    <xf numFmtId="164" fontId="11" fillId="0" borderId="22" xfId="0" applyNumberFormat="1" applyFont="1" applyBorder="1" applyAlignment="1">
      <alignment horizontal="right"/>
    </xf>
    <xf numFmtId="164" fontId="1" fillId="0" borderId="24" xfId="0" applyNumberFormat="1" applyFont="1" applyBorder="1" applyAlignment="1">
      <alignment horizontal="center" wrapText="1"/>
    </xf>
    <xf numFmtId="164" fontId="1" fillId="0" borderId="22" xfId="0" applyNumberFormat="1" applyFont="1" applyBorder="1" applyAlignment="1">
      <alignment horizontal="center"/>
    </xf>
    <xf numFmtId="0" fontId="7" fillId="0" borderId="0" xfId="0" applyFont="1" applyAlignment="1">
      <alignment horizontal="left"/>
    </xf>
    <xf numFmtId="164" fontId="9" fillId="0" borderId="23" xfId="0" applyNumberFormat="1" applyFont="1" applyBorder="1" applyAlignment="1">
      <alignment horizontal="center"/>
    </xf>
    <xf numFmtId="14" fontId="0" fillId="0" borderId="22" xfId="0" applyNumberFormat="1" applyBorder="1" applyAlignment="1">
      <alignment horizontal="center"/>
    </xf>
    <xf numFmtId="164" fontId="0" fillId="0" borderId="22" xfId="0" applyNumberFormat="1" applyBorder="1" applyAlignment="1">
      <alignment horizontal="center"/>
    </xf>
    <xf numFmtId="164" fontId="1" fillId="0" borderId="23" xfId="0" applyNumberFormat="1" applyFont="1" applyBorder="1" applyAlignment="1">
      <alignment horizontal="center"/>
    </xf>
    <xf numFmtId="164" fontId="1" fillId="0" borderId="22" xfId="0" applyNumberFormat="1" applyFont="1" applyBorder="1" applyAlignment="1">
      <alignment horizontal="right"/>
    </xf>
    <xf numFmtId="164" fontId="15" fillId="0" borderId="51" xfId="0" applyNumberFormat="1" applyFont="1" applyBorder="1" applyAlignment="1">
      <alignment horizontal="center"/>
    </xf>
    <xf numFmtId="164" fontId="15" fillId="0" borderId="26" xfId="0" applyNumberFormat="1" applyFont="1" applyBorder="1" applyAlignment="1">
      <alignment horizontal="center" wrapText="1"/>
    </xf>
    <xf numFmtId="164" fontId="1" fillId="0" borderId="26" xfId="0" applyNumberFormat="1" applyFont="1" applyBorder="1" applyAlignment="1">
      <alignment horizontal="center" wrapText="1"/>
    </xf>
    <xf numFmtId="0" fontId="7" fillId="0" borderId="0" xfId="0" applyFont="1" applyAlignment="1">
      <alignment horizontal="center"/>
    </xf>
    <xf numFmtId="14" fontId="18" fillId="0" borderId="22" xfId="0" applyNumberFormat="1" applyFont="1" applyBorder="1" applyAlignment="1">
      <alignment horizontal="center"/>
    </xf>
    <xf numFmtId="164" fontId="18" fillId="0" borderId="22" xfId="0" applyNumberFormat="1" applyFont="1" applyBorder="1" applyAlignment="1">
      <alignment horizontal="right"/>
    </xf>
    <xf numFmtId="164" fontId="18" fillId="0" borderId="22" xfId="0" applyNumberFormat="1" applyFont="1" applyBorder="1" applyAlignment="1">
      <alignment horizontal="center"/>
    </xf>
    <xf numFmtId="164" fontId="18" fillId="0" borderId="24" xfId="0" applyNumberFormat="1" applyFont="1" applyBorder="1" applyAlignment="1">
      <alignment horizontal="center"/>
    </xf>
    <xf numFmtId="164" fontId="19" fillId="0" borderId="24" xfId="0" applyNumberFormat="1" applyFont="1" applyBorder="1" applyAlignment="1">
      <alignment horizontal="center" wrapText="1"/>
    </xf>
    <xf numFmtId="164" fontId="20" fillId="0" borderId="24" xfId="0" applyNumberFormat="1" applyFont="1" applyBorder="1" applyAlignment="1">
      <alignment horizontal="center" wrapText="1"/>
    </xf>
    <xf numFmtId="164" fontId="11" fillId="0" borderId="22" xfId="0" applyNumberFormat="1" applyFont="1" applyBorder="1" applyAlignment="1">
      <alignment horizontal="right" vertical="center"/>
    </xf>
    <xf numFmtId="0" fontId="0" fillId="0" borderId="1" xfId="0" applyBorder="1" applyAlignment="1">
      <alignment horizontal="center" vertical="center"/>
    </xf>
    <xf numFmtId="164" fontId="1" fillId="0" borderId="53" xfId="0" applyNumberFormat="1" applyFont="1" applyBorder="1" applyAlignment="1">
      <alignment horizontal="center" wrapText="1"/>
    </xf>
    <xf numFmtId="14" fontId="1" fillId="0" borderId="27" xfId="0" applyNumberFormat="1" applyFont="1" applyBorder="1" applyAlignment="1">
      <alignment horizontal="right"/>
    </xf>
    <xf numFmtId="0" fontId="0" fillId="0" borderId="27" xfId="0" applyBorder="1" applyAlignment="1">
      <alignment horizontal="center" vertical="center"/>
    </xf>
    <xf numFmtId="14" fontId="1" fillId="0" borderId="22" xfId="0" applyNumberFormat="1" applyFont="1" applyBorder="1" applyAlignment="1">
      <alignment horizontal="center" wrapText="1"/>
    </xf>
    <xf numFmtId="164" fontId="8" fillId="0" borderId="22" xfId="0" applyNumberFormat="1" applyFont="1" applyBorder="1" applyAlignment="1">
      <alignment horizontal="right" vertical="center"/>
    </xf>
    <xf numFmtId="164" fontId="1" fillId="0" borderId="24" xfId="0" applyNumberFormat="1" applyFont="1" applyBorder="1" applyAlignment="1">
      <alignment horizontal="center" vertical="center" wrapText="1"/>
    </xf>
    <xf numFmtId="0" fontId="0" fillId="0" borderId="28" xfId="0" applyBorder="1" applyAlignment="1">
      <alignment horizontal="center" vertical="center"/>
    </xf>
    <xf numFmtId="164" fontId="0" fillId="0" borderId="28" xfId="0" applyNumberFormat="1" applyBorder="1" applyAlignment="1">
      <alignment horizontal="right" vertical="center"/>
    </xf>
    <xf numFmtId="0" fontId="1" fillId="0" borderId="28" xfId="0" applyFont="1" applyBorder="1" applyAlignment="1">
      <alignment horizontal="center" vertical="center"/>
    </xf>
    <xf numFmtId="0" fontId="1" fillId="0" borderId="22" xfId="0" applyFont="1" applyBorder="1" applyAlignment="1">
      <alignment horizontal="center" vertical="center"/>
    </xf>
    <xf numFmtId="0" fontId="0" fillId="0" borderId="50" xfId="0" applyBorder="1" applyAlignment="1">
      <alignment horizontal="center" vertical="center"/>
    </xf>
    <xf numFmtId="164" fontId="0" fillId="0" borderId="1" xfId="0" applyNumberFormat="1" applyBorder="1" applyAlignment="1">
      <alignment horizontal="right" vertical="center"/>
    </xf>
    <xf numFmtId="0" fontId="1" fillId="0" borderId="1" xfId="0" applyFont="1" applyBorder="1" applyAlignment="1">
      <alignment horizontal="center" vertical="center"/>
    </xf>
    <xf numFmtId="0" fontId="0" fillId="0" borderId="15" xfId="0" applyBorder="1" applyAlignment="1">
      <alignment horizontal="center" vertical="center"/>
    </xf>
    <xf numFmtId="0" fontId="1" fillId="0" borderId="53" xfId="0" applyFont="1" applyBorder="1" applyAlignment="1">
      <alignment horizont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54" xfId="0" applyBorder="1" applyAlignment="1">
      <alignment horizontal="center" vertical="center"/>
    </xf>
    <xf numFmtId="0" fontId="0" fillId="0" borderId="55" xfId="0" applyBorder="1"/>
    <xf numFmtId="0" fontId="0" fillId="0" borderId="23" xfId="0" applyBorder="1"/>
    <xf numFmtId="0" fontId="0" fillId="0" borderId="22" xfId="0" applyBorder="1"/>
    <xf numFmtId="0" fontId="0" fillId="0" borderId="24" xfId="0" applyBorder="1"/>
    <xf numFmtId="164" fontId="1" fillId="0" borderId="56" xfId="0" applyNumberFormat="1" applyFont="1" applyBorder="1" applyAlignment="1">
      <alignment horizontal="center" wrapText="1"/>
    </xf>
    <xf numFmtId="164" fontId="1" fillId="0" borderId="57" xfId="0" applyNumberFormat="1" applyFont="1" applyBorder="1" applyAlignment="1">
      <alignment horizontal="center"/>
    </xf>
    <xf numFmtId="164" fontId="1" fillId="0" borderId="58" xfId="0" applyNumberFormat="1" applyFont="1" applyBorder="1" applyAlignment="1">
      <alignment horizontal="center"/>
    </xf>
    <xf numFmtId="0" fontId="1" fillId="0" borderId="24" xfId="0" applyFont="1" applyBorder="1" applyAlignment="1">
      <alignment horizontal="center" vertical="center" wrapText="1"/>
    </xf>
    <xf numFmtId="164" fontId="0" fillId="0" borderId="22" xfId="0" applyNumberFormat="1" applyBorder="1" applyAlignment="1">
      <alignment horizontal="right" vertical="center"/>
    </xf>
    <xf numFmtId="0" fontId="0" fillId="0" borderId="28" xfId="0" applyBorder="1" applyAlignment="1">
      <alignment horizontal="right" vertical="center"/>
    </xf>
    <xf numFmtId="164" fontId="0" fillId="0" borderId="27" xfId="0" applyNumberFormat="1" applyBorder="1" applyAlignment="1">
      <alignment horizontal="right" vertical="center"/>
    </xf>
    <xf numFmtId="14" fontId="1" fillId="0" borderId="27" xfId="0" applyNumberFormat="1" applyFont="1" applyBorder="1" applyAlignment="1">
      <alignment horizontal="center" vertical="center"/>
    </xf>
    <xf numFmtId="14" fontId="1" fillId="0" borderId="28" xfId="0" applyNumberFormat="1" applyFont="1" applyBorder="1" applyAlignment="1">
      <alignment horizontal="center" vertical="center"/>
    </xf>
    <xf numFmtId="0" fontId="0" fillId="0" borderId="40" xfId="0" applyBorder="1" applyAlignment="1">
      <alignment horizontal="center" vertical="center"/>
    </xf>
    <xf numFmtId="0" fontId="1" fillId="0" borderId="27"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14" fontId="1" fillId="0" borderId="63" xfId="0" applyNumberFormat="1"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164" fontId="1" fillId="0" borderId="0" xfId="0" applyNumberFormat="1" applyFont="1" applyAlignment="1">
      <alignment horizontal="center"/>
    </xf>
    <xf numFmtId="4" fontId="1" fillId="0" borderId="30" xfId="0" applyNumberFormat="1" applyFont="1" applyBorder="1"/>
    <xf numFmtId="164" fontId="9" fillId="5" borderId="0" xfId="0" applyNumberFormat="1" applyFont="1" applyFill="1" applyAlignment="1">
      <alignment horizontal="right"/>
    </xf>
    <xf numFmtId="164" fontId="0" fillId="5" borderId="0" xfId="0" applyNumberFormat="1" applyFill="1" applyAlignment="1">
      <alignment horizontal="right"/>
    </xf>
    <xf numFmtId="164" fontId="0" fillId="5" borderId="0" xfId="0" applyNumberFormat="1" applyFill="1" applyAlignment="1">
      <alignment horizontal="center"/>
    </xf>
    <xf numFmtId="164" fontId="0" fillId="0" borderId="65" xfId="0" applyNumberFormat="1" applyBorder="1" applyAlignment="1">
      <alignment horizontal="center"/>
    </xf>
    <xf numFmtId="164" fontId="9" fillId="0" borderId="65" xfId="0" applyNumberFormat="1" applyFont="1" applyBorder="1" applyAlignment="1">
      <alignment horizontal="right"/>
    </xf>
    <xf numFmtId="164" fontId="0" fillId="0" borderId="66" xfId="0" applyNumberFormat="1" applyBorder="1" applyAlignment="1">
      <alignment horizontal="center"/>
    </xf>
    <xf numFmtId="164" fontId="0" fillId="0" borderId="42" xfId="0" applyNumberFormat="1" applyBorder="1" applyAlignment="1">
      <alignment horizontal="center"/>
    </xf>
    <xf numFmtId="164" fontId="7" fillId="0" borderId="24" xfId="0" applyNumberFormat="1" applyFont="1" applyBorder="1" applyAlignment="1">
      <alignment horizontal="center" vertical="top" wrapText="1"/>
    </xf>
    <xf numFmtId="0" fontId="1" fillId="0" borderId="40" xfId="0" applyFont="1" applyBorder="1" applyAlignment="1">
      <alignment horizontal="center" vertical="top" wrapText="1"/>
    </xf>
    <xf numFmtId="164" fontId="21" fillId="0" borderId="22" xfId="0" applyNumberFormat="1" applyFont="1" applyBorder="1" applyAlignment="1">
      <alignment horizontal="center" vertical="center"/>
    </xf>
    <xf numFmtId="164" fontId="21" fillId="0" borderId="22" xfId="0" applyNumberFormat="1" applyFont="1" applyBorder="1" applyAlignment="1">
      <alignment horizontal="center"/>
    </xf>
    <xf numFmtId="0" fontId="22" fillId="0" borderId="22" xfId="0" applyFont="1" applyBorder="1" applyAlignment="1">
      <alignment horizontal="center"/>
    </xf>
    <xf numFmtId="164" fontId="9" fillId="0" borderId="0" xfId="0" applyNumberFormat="1" applyFont="1" applyAlignment="1">
      <alignment horizontal="center"/>
    </xf>
    <xf numFmtId="0" fontId="9" fillId="0" borderId="67" xfId="0" applyFont="1" applyBorder="1"/>
    <xf numFmtId="164" fontId="7" fillId="0" borderId="1" xfId="0" applyNumberFormat="1" applyFont="1" applyBorder="1" applyAlignment="1">
      <alignment horizontal="center"/>
    </xf>
    <xf numFmtId="0" fontId="1" fillId="0" borderId="64" xfId="0" applyFont="1" applyBorder="1" applyAlignment="1">
      <alignment horizontal="center" vertical="center"/>
    </xf>
    <xf numFmtId="0" fontId="1" fillId="6" borderId="22" xfId="0" applyFont="1" applyFill="1" applyBorder="1" applyAlignment="1">
      <alignment horizontal="center"/>
    </xf>
    <xf numFmtId="164" fontId="1" fillId="6" borderId="22" xfId="0" applyNumberFormat="1" applyFont="1" applyFill="1" applyBorder="1" applyAlignment="1">
      <alignment horizontal="center"/>
    </xf>
    <xf numFmtId="164" fontId="1" fillId="6" borderId="22" xfId="0" applyNumberFormat="1" applyFont="1" applyFill="1" applyBorder="1" applyAlignment="1">
      <alignment horizontal="center" vertical="center"/>
    </xf>
    <xf numFmtId="0" fontId="1" fillId="0" borderId="30" xfId="0" applyFont="1" applyBorder="1" applyAlignment="1">
      <alignment wrapText="1"/>
    </xf>
    <xf numFmtId="164" fontId="7" fillId="0" borderId="22" xfId="0" applyNumberFormat="1" applyFont="1" applyBorder="1" applyAlignment="1">
      <alignment horizont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8" fontId="1" fillId="0" borderId="1" xfId="0" applyNumberFormat="1" applyFont="1" applyBorder="1" applyAlignment="1">
      <alignment horizontal="center"/>
    </xf>
    <xf numFmtId="0" fontId="1" fillId="8" borderId="22" xfId="0" applyFont="1" applyFill="1" applyBorder="1" applyAlignment="1">
      <alignment horizontal="center"/>
    </xf>
    <xf numFmtId="0" fontId="1" fillId="0" borderId="40" xfId="0" applyFont="1" applyBorder="1" applyAlignment="1">
      <alignment horizontal="center" vertical="center"/>
    </xf>
    <xf numFmtId="14" fontId="1" fillId="0" borderId="28" xfId="0" applyNumberFormat="1" applyFont="1" applyBorder="1" applyAlignment="1">
      <alignment horizontal="center"/>
    </xf>
    <xf numFmtId="164" fontId="1" fillId="0" borderId="68" xfId="0" applyNumberFormat="1" applyFont="1" applyBorder="1" applyAlignment="1">
      <alignment horizontal="center"/>
    </xf>
    <xf numFmtId="164" fontId="1" fillId="0" borderId="20" xfId="0" applyNumberFormat="1" applyFont="1" applyBorder="1" applyAlignment="1">
      <alignment horizontal="center"/>
    </xf>
    <xf numFmtId="14" fontId="1" fillId="0" borderId="69" xfId="0" applyNumberFormat="1" applyFont="1" applyBorder="1" applyAlignment="1">
      <alignment horizontal="center" vertical="center"/>
    </xf>
    <xf numFmtId="0" fontId="0" fillId="0" borderId="70" xfId="0" applyBorder="1"/>
    <xf numFmtId="0" fontId="0" fillId="0" borderId="27" xfId="0" applyBorder="1"/>
    <xf numFmtId="0" fontId="0" fillId="0" borderId="71" xfId="0" applyBorder="1"/>
    <xf numFmtId="164" fontId="1" fillId="8" borderId="24" xfId="0" applyNumberFormat="1" applyFont="1" applyFill="1" applyBorder="1" applyAlignment="1">
      <alignment horizontal="center"/>
    </xf>
    <xf numFmtId="164" fontId="1" fillId="9" borderId="22" xfId="0" applyNumberFormat="1" applyFont="1" applyFill="1" applyBorder="1" applyAlignment="1">
      <alignment horizontal="center"/>
    </xf>
    <xf numFmtId="14" fontId="1" fillId="9" borderId="22" xfId="0" applyNumberFormat="1" applyFont="1" applyFill="1" applyBorder="1" applyAlignment="1">
      <alignment horizontal="center"/>
    </xf>
    <xf numFmtId="164" fontId="1" fillId="9" borderId="0" xfId="0" applyNumberFormat="1" applyFont="1" applyFill="1" applyAlignment="1">
      <alignment horizontal="center"/>
    </xf>
    <xf numFmtId="0" fontId="1" fillId="9" borderId="22" xfId="0" applyFont="1" applyFill="1" applyBorder="1" applyAlignment="1">
      <alignment horizontal="center"/>
    </xf>
    <xf numFmtId="164" fontId="1" fillId="0" borderId="0" xfId="0" applyNumberFormat="1" applyFont="1" applyAlignment="1">
      <alignment horizontal="center" vertical="center"/>
    </xf>
    <xf numFmtId="164" fontId="1" fillId="0" borderId="0" xfId="0" applyNumberFormat="1" applyFont="1" applyAlignment="1">
      <alignment horizontal="right" vertical="center"/>
    </xf>
    <xf numFmtId="14" fontId="1" fillId="0" borderId="0" xfId="0" applyNumberFormat="1" applyFont="1" applyAlignment="1">
      <alignment horizontal="center" vertical="center"/>
    </xf>
    <xf numFmtId="164" fontId="1" fillId="0" borderId="0" xfId="0" applyNumberFormat="1" applyFont="1" applyAlignment="1">
      <alignment horizontal="right"/>
    </xf>
    <xf numFmtId="44" fontId="0" fillId="0" borderId="0" xfId="1" applyFont="1"/>
    <xf numFmtId="0" fontId="0" fillId="0" borderId="72" xfId="0" applyBorder="1"/>
    <xf numFmtId="0" fontId="0" fillId="0" borderId="73" xfId="0" applyBorder="1"/>
    <xf numFmtId="0" fontId="1" fillId="0" borderId="50" xfId="0" applyFont="1" applyBorder="1" applyAlignment="1">
      <alignment horizontal="center" vertical="center"/>
    </xf>
    <xf numFmtId="0" fontId="1" fillId="0" borderId="74" xfId="0" applyFont="1" applyBorder="1" applyAlignment="1">
      <alignment horizontal="center" vertical="center"/>
    </xf>
    <xf numFmtId="14" fontId="1" fillId="0" borderId="74" xfId="0" applyNumberFormat="1" applyFont="1" applyBorder="1" applyAlignment="1">
      <alignment horizontal="center" vertical="center"/>
    </xf>
    <xf numFmtId="164" fontId="1" fillId="0" borderId="28" xfId="0" applyNumberFormat="1" applyFont="1" applyBorder="1" applyAlignment="1">
      <alignment horizontal="center"/>
    </xf>
    <xf numFmtId="164" fontId="8" fillId="0" borderId="28" xfId="0" applyNumberFormat="1" applyFont="1" applyBorder="1" applyAlignment="1">
      <alignment horizontal="right"/>
    </xf>
    <xf numFmtId="164" fontId="1" fillId="0" borderId="50" xfId="0" applyNumberFormat="1" applyFont="1" applyBorder="1" applyAlignment="1">
      <alignment horizontal="center"/>
    </xf>
    <xf numFmtId="0" fontId="1" fillId="0" borderId="75" xfId="0" applyFont="1" applyBorder="1" applyAlignment="1">
      <alignment horizontal="center" vertical="center"/>
    </xf>
    <xf numFmtId="14" fontId="1" fillId="0" borderId="75" xfId="0" applyNumberFormat="1" applyFont="1" applyBorder="1" applyAlignment="1">
      <alignment horizontal="center" vertical="center"/>
    </xf>
    <xf numFmtId="0" fontId="0" fillId="0" borderId="75" xfId="0" applyBorder="1" applyAlignment="1">
      <alignment horizontal="center" vertical="center"/>
    </xf>
    <xf numFmtId="0" fontId="1" fillId="0" borderId="77" xfId="0" applyFont="1" applyBorder="1" applyAlignment="1">
      <alignment horizontal="center" vertical="center"/>
    </xf>
    <xf numFmtId="0" fontId="1" fillId="0" borderId="76" xfId="0" applyFont="1" applyBorder="1" applyAlignment="1">
      <alignment horizontal="center" vertical="center"/>
    </xf>
    <xf numFmtId="8" fontId="1" fillId="0" borderId="0" xfId="0" applyNumberFormat="1" applyFont="1"/>
    <xf numFmtId="14" fontId="1" fillId="0" borderId="27" xfId="0" applyNumberFormat="1" applyFont="1" applyBorder="1" applyAlignment="1">
      <alignment horizontal="center"/>
    </xf>
    <xf numFmtId="0" fontId="0" fillId="0" borderId="28" xfId="0" applyBorder="1" applyAlignment="1">
      <alignment horizontal="center"/>
    </xf>
    <xf numFmtId="164" fontId="0" fillId="0" borderId="78" xfId="0" applyNumberFormat="1" applyBorder="1" applyAlignment="1">
      <alignment horizontal="center"/>
    </xf>
    <xf numFmtId="164" fontId="10" fillId="0" borderId="53" xfId="0" applyNumberFormat="1" applyFont="1" applyBorder="1" applyAlignment="1">
      <alignment horizontal="right"/>
    </xf>
    <xf numFmtId="164" fontId="10" fillId="0" borderId="80" xfId="0" applyNumberFormat="1" applyFont="1" applyBorder="1" applyAlignment="1">
      <alignment horizontal="right"/>
    </xf>
    <xf numFmtId="164" fontId="1" fillId="3" borderId="81" xfId="0" applyNumberFormat="1" applyFont="1" applyFill="1" applyBorder="1" applyAlignment="1">
      <alignment horizontal="right"/>
    </xf>
    <xf numFmtId="0" fontId="0" fillId="0" borderId="79" xfId="0" applyBorder="1"/>
    <xf numFmtId="14" fontId="0" fillId="0" borderId="0" xfId="0" applyNumberFormat="1" applyAlignment="1">
      <alignment horizontal="right"/>
    </xf>
    <xf numFmtId="0" fontId="1" fillId="0" borderId="0" xfId="0" applyFont="1" applyAlignment="1">
      <alignment horizontal="left"/>
    </xf>
    <xf numFmtId="164" fontId="1" fillId="6" borderId="24" xfId="0" applyNumberFormat="1" applyFont="1" applyFill="1" applyBorder="1" applyAlignment="1">
      <alignment horizontal="center" wrapText="1"/>
    </xf>
    <xf numFmtId="0" fontId="1" fillId="6" borderId="22" xfId="0" applyFont="1" applyFill="1" applyBorder="1" applyAlignment="1">
      <alignment horizontal="center" vertical="center"/>
    </xf>
    <xf numFmtId="0" fontId="1" fillId="6" borderId="75" xfId="0" applyFont="1" applyFill="1" applyBorder="1" applyAlignment="1">
      <alignment horizontal="center" vertical="center"/>
    </xf>
    <xf numFmtId="0" fontId="1" fillId="0" borderId="0" xfId="0" applyFont="1" applyAlignment="1">
      <alignment horizontal="center" vertical="center"/>
    </xf>
    <xf numFmtId="164" fontId="11" fillId="0" borderId="0" xfId="0" applyNumberFormat="1" applyFont="1" applyAlignment="1">
      <alignment horizontal="right"/>
    </xf>
    <xf numFmtId="0" fontId="0" fillId="0" borderId="0" xfId="0" applyAlignment="1">
      <alignment horizontal="center" vertical="center"/>
    </xf>
    <xf numFmtId="0" fontId="1" fillId="0" borderId="20" xfId="0" applyFont="1" applyBorder="1" applyAlignment="1">
      <alignment horizontal="center" vertical="center"/>
    </xf>
    <xf numFmtId="8" fontId="0" fillId="0" borderId="0" xfId="0" applyNumberFormat="1"/>
    <xf numFmtId="164" fontId="1" fillId="0" borderId="53" xfId="0" applyNumberFormat="1" applyFont="1" applyBorder="1" applyAlignment="1">
      <alignment horizontal="center" vertical="center"/>
    </xf>
    <xf numFmtId="0" fontId="0" fillId="0" borderId="21" xfId="0" applyBorder="1"/>
    <xf numFmtId="0" fontId="0" fillId="0" borderId="20" xfId="0" applyBorder="1"/>
    <xf numFmtId="4" fontId="0" fillId="0" borderId="21" xfId="0" applyNumberFormat="1" applyBorder="1"/>
    <xf numFmtId="4" fontId="0" fillId="0" borderId="20" xfId="0" applyNumberFormat="1" applyBorder="1"/>
    <xf numFmtId="4" fontId="9" fillId="0" borderId="78" xfId="0" applyNumberFormat="1" applyFont="1" applyBorder="1"/>
    <xf numFmtId="4" fontId="9" fillId="0" borderId="65" xfId="0" applyNumberFormat="1" applyFont="1" applyBorder="1"/>
    <xf numFmtId="4" fontId="9" fillId="0" borderId="66" xfId="0" applyNumberFormat="1" applyFont="1" applyBorder="1"/>
    <xf numFmtId="0" fontId="1" fillId="0" borderId="12" xfId="0" applyFont="1" applyBorder="1" applyAlignment="1">
      <alignment horizontal="right"/>
    </xf>
    <xf numFmtId="0" fontId="10" fillId="0" borderId="80" xfId="0" applyFont="1" applyBorder="1" applyAlignment="1">
      <alignment horizontal="right"/>
    </xf>
    <xf numFmtId="164" fontId="7" fillId="0" borderId="53" xfId="0" applyNumberFormat="1" applyFont="1" applyBorder="1" applyAlignment="1">
      <alignment horizontal="center" vertical="center"/>
    </xf>
    <xf numFmtId="0" fontId="1" fillId="0" borderId="0" xfId="0" applyFont="1" applyAlignment="1">
      <alignment horizontal="center"/>
    </xf>
    <xf numFmtId="0" fontId="5" fillId="0" borderId="20" xfId="0" applyFont="1" applyBorder="1" applyAlignment="1">
      <alignment horizontal="center" wrapText="1"/>
    </xf>
    <xf numFmtId="164" fontId="5" fillId="0" borderId="0" xfId="0" applyNumberFormat="1" applyFont="1" applyAlignment="1">
      <alignment horizontal="center"/>
    </xf>
    <xf numFmtId="164" fontId="1" fillId="10" borderId="22" xfId="0" applyNumberFormat="1" applyFont="1" applyFill="1" applyBorder="1" applyAlignment="1">
      <alignment horizontal="center"/>
    </xf>
    <xf numFmtId="164" fontId="11" fillId="10" borderId="22" xfId="0" applyNumberFormat="1" applyFont="1" applyFill="1" applyBorder="1" applyAlignment="1">
      <alignment horizontal="right"/>
    </xf>
    <xf numFmtId="164" fontId="1" fillId="10" borderId="24" xfId="0" applyNumberFormat="1" applyFont="1" applyFill="1" applyBorder="1" applyAlignment="1">
      <alignment horizontal="center" wrapText="1"/>
    </xf>
    <xf numFmtId="164" fontId="0" fillId="10" borderId="0" xfId="0" applyNumberFormat="1" applyFill="1" applyAlignment="1">
      <alignment horizontal="right"/>
    </xf>
    <xf numFmtId="164" fontId="9" fillId="10" borderId="0" xfId="0" applyNumberFormat="1" applyFont="1" applyFill="1" applyAlignment="1">
      <alignment horizontal="right"/>
    </xf>
    <xf numFmtId="0" fontId="24" fillId="0" borderId="20" xfId="0" applyFont="1" applyBorder="1" applyAlignment="1">
      <alignment horizontal="center"/>
    </xf>
    <xf numFmtId="164" fontId="9" fillId="11" borderId="17" xfId="0" applyNumberFormat="1" applyFont="1" applyFill="1" applyBorder="1" applyAlignment="1">
      <alignment horizontal="right"/>
    </xf>
    <xf numFmtId="164" fontId="0" fillId="11" borderId="0" xfId="0" applyNumberFormat="1" applyFill="1"/>
    <xf numFmtId="164" fontId="1" fillId="11" borderId="23" xfId="0" applyNumberFormat="1" applyFont="1" applyFill="1" applyBorder="1" applyAlignment="1">
      <alignment horizontal="center"/>
    </xf>
    <xf numFmtId="0" fontId="17" fillId="0" borderId="0" xfId="0" applyFont="1" applyAlignment="1">
      <alignment horizontal="center"/>
    </xf>
    <xf numFmtId="164" fontId="1" fillId="5" borderId="0" xfId="0" applyNumberFormat="1" applyFont="1" applyFill="1" applyAlignment="1">
      <alignment horizontal="right"/>
    </xf>
    <xf numFmtId="164" fontId="1" fillId="12" borderId="22" xfId="0" applyNumberFormat="1" applyFont="1" applyFill="1" applyBorder="1" applyAlignment="1">
      <alignment horizontal="center"/>
    </xf>
    <xf numFmtId="14" fontId="1" fillId="12" borderId="22" xfId="0" applyNumberFormat="1" applyFont="1" applyFill="1" applyBorder="1" applyAlignment="1">
      <alignment horizontal="center"/>
    </xf>
    <xf numFmtId="164" fontId="8" fillId="12" borderId="22" xfId="0" applyNumberFormat="1" applyFont="1" applyFill="1" applyBorder="1" applyAlignment="1">
      <alignment horizontal="right"/>
    </xf>
    <xf numFmtId="164" fontId="1" fillId="12" borderId="24" xfId="0" applyNumberFormat="1" applyFont="1" applyFill="1" applyBorder="1" applyAlignment="1">
      <alignment horizontal="center" wrapText="1"/>
    </xf>
    <xf numFmtId="164" fontId="9" fillId="13" borderId="0" xfId="0" applyNumberFormat="1" applyFont="1" applyFill="1" applyAlignment="1">
      <alignment horizontal="right"/>
    </xf>
    <xf numFmtId="0" fontId="0" fillId="0" borderId="82" xfId="0" applyBorder="1"/>
    <xf numFmtId="164" fontId="0" fillId="12" borderId="0" xfId="0" applyNumberFormat="1" applyFill="1" applyAlignment="1">
      <alignment horizontal="center"/>
    </xf>
    <xf numFmtId="164" fontId="9" fillId="12" borderId="0" xfId="0" applyNumberFormat="1" applyFont="1" applyFill="1" applyAlignment="1">
      <alignment horizontal="right"/>
    </xf>
    <xf numFmtId="0" fontId="0" fillId="12" borderId="0" xfId="0" applyFill="1" applyAlignment="1">
      <alignment horizontal="center"/>
    </xf>
    <xf numFmtId="0" fontId="0" fillId="12" borderId="0" xfId="0" applyFill="1"/>
    <xf numFmtId="0" fontId="25" fillId="0" borderId="0" xfId="0" applyFont="1" applyAlignment="1">
      <alignment horizontal="center"/>
    </xf>
    <xf numFmtId="164" fontId="9" fillId="0" borderId="22" xfId="0" applyNumberFormat="1" applyFont="1" applyBorder="1" applyAlignment="1">
      <alignment horizontal="right"/>
    </xf>
    <xf numFmtId="14" fontId="1" fillId="0" borderId="56" xfId="0" applyNumberFormat="1" applyFont="1" applyBorder="1" applyAlignment="1">
      <alignment horizontal="center" vertical="center"/>
    </xf>
    <xf numFmtId="164" fontId="1" fillId="0" borderId="59" xfId="0" applyNumberFormat="1" applyFont="1" applyBorder="1" applyAlignment="1">
      <alignment horizontal="right" vertical="center"/>
    </xf>
    <xf numFmtId="164" fontId="1" fillId="3" borderId="52" xfId="0" applyNumberFormat="1" applyFont="1" applyFill="1" applyBorder="1" applyAlignment="1">
      <alignment horizontal="right"/>
    </xf>
    <xf numFmtId="164" fontId="1" fillId="12" borderId="23" xfId="0" applyNumberFormat="1" applyFont="1" applyFill="1" applyBorder="1" applyAlignment="1">
      <alignment horizontal="center"/>
    </xf>
    <xf numFmtId="164" fontId="1" fillId="12" borderId="22" xfId="0" applyNumberFormat="1" applyFont="1" applyFill="1" applyBorder="1" applyAlignment="1">
      <alignment horizontal="right"/>
    </xf>
    <xf numFmtId="164" fontId="1" fillId="12" borderId="22" xfId="0" applyNumberFormat="1" applyFont="1" applyFill="1" applyBorder="1" applyAlignment="1">
      <alignment horizontal="center" vertical="center"/>
    </xf>
    <xf numFmtId="164" fontId="0" fillId="12" borderId="24" xfId="0" applyNumberFormat="1" applyFill="1" applyBorder="1" applyAlignment="1">
      <alignment horizontal="center"/>
    </xf>
    <xf numFmtId="164" fontId="0" fillId="12" borderId="22" xfId="0" applyNumberFormat="1" applyFill="1" applyBorder="1" applyAlignment="1">
      <alignment horizontal="center"/>
    </xf>
    <xf numFmtId="164" fontId="1" fillId="12" borderId="24" xfId="0" applyNumberFormat="1" applyFont="1" applyFill="1" applyBorder="1" applyAlignment="1">
      <alignment horizontal="center"/>
    </xf>
    <xf numFmtId="164" fontId="7" fillId="0" borderId="53" xfId="0" applyNumberFormat="1" applyFont="1" applyBorder="1" applyAlignment="1">
      <alignment horizontal="center"/>
    </xf>
    <xf numFmtId="14" fontId="1" fillId="0" borderId="59" xfId="0" applyNumberFormat="1" applyFont="1" applyBorder="1" applyAlignment="1">
      <alignment horizontal="center"/>
    </xf>
    <xf numFmtId="164" fontId="9" fillId="0" borderId="27" xfId="0" applyNumberFormat="1" applyFont="1" applyBorder="1" applyAlignment="1">
      <alignment horizontal="right"/>
    </xf>
    <xf numFmtId="164" fontId="1" fillId="12" borderId="53" xfId="0" applyNumberFormat="1" applyFont="1" applyFill="1" applyBorder="1" applyAlignment="1">
      <alignment horizontal="center" wrapText="1"/>
    </xf>
    <xf numFmtId="164" fontId="1" fillId="12" borderId="1" xfId="0" applyNumberFormat="1" applyFont="1" applyFill="1" applyBorder="1" applyAlignment="1">
      <alignment horizontal="right"/>
    </xf>
    <xf numFmtId="14" fontId="1" fillId="12" borderId="22" xfId="0" applyNumberFormat="1" applyFont="1" applyFill="1" applyBorder="1" applyAlignment="1">
      <alignment horizontal="center" wrapText="1"/>
    </xf>
    <xf numFmtId="164" fontId="8" fillId="12" borderId="1" xfId="0" applyNumberFormat="1" applyFont="1" applyFill="1" applyBorder="1" applyAlignment="1">
      <alignment horizontal="right"/>
    </xf>
    <xf numFmtId="0" fontId="3" fillId="15" borderId="21" xfId="0" applyFont="1" applyFill="1" applyBorder="1" applyAlignment="1">
      <alignment horizontal="center"/>
    </xf>
    <xf numFmtId="0" fontId="1" fillId="12" borderId="0" xfId="0" applyFont="1" applyFill="1" applyAlignment="1">
      <alignment horizontal="center"/>
    </xf>
    <xf numFmtId="164" fontId="1" fillId="12" borderId="22" xfId="0" applyNumberFormat="1" applyFont="1" applyFill="1" applyBorder="1" applyAlignment="1">
      <alignment horizontal="right" vertical="center"/>
    </xf>
    <xf numFmtId="14" fontId="0" fillId="12" borderId="0" xfId="0" applyNumberFormat="1" applyFill="1" applyAlignment="1">
      <alignment horizontal="center"/>
    </xf>
    <xf numFmtId="164" fontId="8" fillId="12" borderId="0" xfId="0" applyNumberFormat="1" applyFont="1" applyFill="1" applyAlignment="1">
      <alignment horizontal="right"/>
    </xf>
    <xf numFmtId="164" fontId="9" fillId="0" borderId="22" xfId="0" applyNumberFormat="1" applyFont="1" applyBorder="1" applyAlignment="1">
      <alignment horizontal="right" vertical="center"/>
    </xf>
    <xf numFmtId="164" fontId="9" fillId="0" borderId="16" xfId="0" applyNumberFormat="1" applyFont="1" applyBorder="1" applyAlignment="1">
      <alignment horizontal="center"/>
    </xf>
    <xf numFmtId="164" fontId="9" fillId="15" borderId="14" xfId="0" applyNumberFormat="1" applyFont="1" applyFill="1" applyBorder="1" applyAlignment="1">
      <alignment horizontal="center"/>
    </xf>
    <xf numFmtId="164" fontId="9" fillId="16" borderId="23" xfId="0" applyNumberFormat="1" applyFont="1" applyFill="1" applyBorder="1" applyAlignment="1">
      <alignment horizontal="center"/>
    </xf>
    <xf numFmtId="0" fontId="9" fillId="0" borderId="0" xfId="0" applyFont="1" applyAlignment="1">
      <alignment horizontal="center"/>
    </xf>
    <xf numFmtId="0" fontId="5" fillId="0" borderId="20" xfId="0" quotePrefix="1" applyFont="1" applyBorder="1" applyAlignment="1">
      <alignment horizontal="center"/>
    </xf>
    <xf numFmtId="0" fontId="1" fillId="0" borderId="20" xfId="0" applyFont="1" applyBorder="1"/>
    <xf numFmtId="0" fontId="0" fillId="0" borderId="66" xfId="0" applyBorder="1"/>
    <xf numFmtId="4" fontId="9" fillId="0" borderId="32" xfId="0" applyNumberFormat="1" applyFont="1" applyBorder="1"/>
    <xf numFmtId="164" fontId="11" fillId="14" borderId="23" xfId="0" applyNumberFormat="1" applyFont="1" applyFill="1" applyBorder="1" applyAlignment="1">
      <alignment horizontal="center"/>
    </xf>
    <xf numFmtId="164" fontId="1" fillId="14" borderId="28" xfId="0" applyNumberFormat="1" applyFont="1" applyFill="1" applyBorder="1" applyAlignment="1">
      <alignment horizontal="center"/>
    </xf>
    <xf numFmtId="14" fontId="1" fillId="14" borderId="28" xfId="0" applyNumberFormat="1" applyFont="1" applyFill="1" applyBorder="1" applyAlignment="1">
      <alignment horizontal="center"/>
    </xf>
    <xf numFmtId="164" fontId="1" fillId="14" borderId="15" xfId="0" applyNumberFormat="1" applyFont="1" applyFill="1" applyBorder="1" applyAlignment="1">
      <alignment horizontal="center"/>
    </xf>
    <xf numFmtId="164" fontId="1" fillId="14" borderId="24" xfId="0" applyNumberFormat="1" applyFont="1" applyFill="1" applyBorder="1" applyAlignment="1">
      <alignment horizontal="center"/>
    </xf>
    <xf numFmtId="164" fontId="1" fillId="14" borderId="22" xfId="0" applyNumberFormat="1" applyFont="1" applyFill="1" applyBorder="1" applyAlignment="1">
      <alignment horizontal="center"/>
    </xf>
    <xf numFmtId="164" fontId="11" fillId="14" borderId="22" xfId="0" applyNumberFormat="1" applyFont="1" applyFill="1" applyBorder="1" applyAlignment="1">
      <alignment horizontal="right"/>
    </xf>
    <xf numFmtId="14" fontId="1" fillId="14" borderId="22" xfId="0" applyNumberFormat="1" applyFont="1" applyFill="1" applyBorder="1" applyAlignment="1">
      <alignment horizontal="center"/>
    </xf>
    <xf numFmtId="164" fontId="8" fillId="14" borderId="22" xfId="0" applyNumberFormat="1" applyFont="1" applyFill="1" applyBorder="1" applyAlignment="1">
      <alignment horizontal="right"/>
    </xf>
    <xf numFmtId="0" fontId="1" fillId="14" borderId="22" xfId="0" applyFont="1" applyFill="1" applyBorder="1" applyAlignment="1">
      <alignment horizontal="center"/>
    </xf>
    <xf numFmtId="164" fontId="1" fillId="14" borderId="24" xfId="0" applyNumberFormat="1" applyFont="1" applyFill="1" applyBorder="1" applyAlignment="1">
      <alignment horizontal="center" wrapText="1"/>
    </xf>
    <xf numFmtId="164" fontId="1" fillId="14" borderId="53" xfId="0" applyNumberFormat="1" applyFont="1" applyFill="1" applyBorder="1" applyAlignment="1">
      <alignment horizontal="center" vertical="center"/>
    </xf>
    <xf numFmtId="164" fontId="1" fillId="14" borderId="22" xfId="0" applyNumberFormat="1" applyFont="1" applyFill="1" applyBorder="1" applyAlignment="1">
      <alignment horizontal="right"/>
    </xf>
    <xf numFmtId="164" fontId="8" fillId="14" borderId="1" xfId="0" applyNumberFormat="1" applyFont="1" applyFill="1" applyBorder="1" applyAlignment="1">
      <alignment horizontal="right"/>
    </xf>
    <xf numFmtId="0" fontId="0" fillId="14" borderId="27" xfId="0" applyFill="1" applyBorder="1" applyAlignment="1">
      <alignment horizontal="center" vertical="center"/>
    </xf>
    <xf numFmtId="164" fontId="1" fillId="14" borderId="22" xfId="0" applyNumberFormat="1" applyFont="1" applyFill="1" applyBorder="1" applyAlignment="1">
      <alignment horizontal="center" vertical="center"/>
    </xf>
    <xf numFmtId="164" fontId="1" fillId="14" borderId="15" xfId="0" applyNumberFormat="1" applyFont="1" applyFill="1" applyBorder="1" applyAlignment="1">
      <alignment horizontal="center" wrapText="1"/>
    </xf>
    <xf numFmtId="164" fontId="1" fillId="14" borderId="53" xfId="0" applyNumberFormat="1" applyFont="1" applyFill="1" applyBorder="1" applyAlignment="1">
      <alignment horizontal="center" wrapText="1"/>
    </xf>
    <xf numFmtId="164" fontId="1" fillId="14" borderId="1" xfId="0" applyNumberFormat="1" applyFont="1" applyFill="1" applyBorder="1" applyAlignment="1">
      <alignment horizontal="right"/>
    </xf>
    <xf numFmtId="14" fontId="1" fillId="14" borderId="22" xfId="0" applyNumberFormat="1" applyFont="1" applyFill="1" applyBorder="1" applyAlignment="1">
      <alignment horizontal="center" wrapText="1"/>
    </xf>
    <xf numFmtId="164" fontId="8" fillId="0" borderId="23" xfId="0" applyNumberFormat="1" applyFont="1" applyBorder="1" applyAlignment="1">
      <alignment horizontal="center"/>
    </xf>
    <xf numFmtId="164" fontId="11" fillId="0" borderId="22" xfId="0" applyNumberFormat="1" applyFont="1" applyBorder="1" applyAlignment="1">
      <alignment horizontal="center"/>
    </xf>
    <xf numFmtId="14" fontId="1" fillId="0" borderId="22" xfId="0" applyNumberFormat="1" applyFont="1" applyBorder="1" applyAlignment="1">
      <alignment horizontal="right"/>
    </xf>
    <xf numFmtId="8" fontId="1" fillId="0" borderId="22" xfId="0" applyNumberFormat="1" applyFont="1" applyBorder="1" applyAlignment="1">
      <alignment horizontal="center"/>
    </xf>
    <xf numFmtId="164" fontId="1" fillId="17" borderId="22" xfId="0" applyNumberFormat="1" applyFont="1" applyFill="1" applyBorder="1" applyAlignment="1">
      <alignment horizontal="center"/>
    </xf>
    <xf numFmtId="14" fontId="1" fillId="17" borderId="22" xfId="0" applyNumberFormat="1" applyFont="1" applyFill="1" applyBorder="1" applyAlignment="1">
      <alignment horizontal="center"/>
    </xf>
    <xf numFmtId="164" fontId="1" fillId="17" borderId="24" xfId="0" applyNumberFormat="1" applyFont="1" applyFill="1" applyBorder="1" applyAlignment="1">
      <alignment horizontal="center"/>
    </xf>
    <xf numFmtId="0" fontId="1" fillId="17" borderId="75" xfId="0" applyFont="1" applyFill="1" applyBorder="1" applyAlignment="1">
      <alignment horizontal="center" vertical="center"/>
    </xf>
    <xf numFmtId="14" fontId="1" fillId="17" borderId="75" xfId="0" applyNumberFormat="1" applyFont="1" applyFill="1" applyBorder="1" applyAlignment="1">
      <alignment horizontal="center" vertical="center"/>
    </xf>
    <xf numFmtId="0" fontId="0" fillId="17" borderId="75" xfId="0" applyFill="1" applyBorder="1" applyAlignment="1">
      <alignment horizontal="center" vertical="center"/>
    </xf>
    <xf numFmtId="0" fontId="1" fillId="17" borderId="76" xfId="0" applyFont="1" applyFill="1" applyBorder="1" applyAlignment="1">
      <alignment horizontal="center" vertical="center"/>
    </xf>
    <xf numFmtId="164" fontId="1" fillId="17" borderId="24" xfId="0" applyNumberFormat="1" applyFont="1" applyFill="1" applyBorder="1" applyAlignment="1">
      <alignment horizontal="center" wrapText="1"/>
    </xf>
    <xf numFmtId="14" fontId="1" fillId="18" borderId="22" xfId="0" applyNumberFormat="1" applyFont="1" applyFill="1" applyBorder="1" applyAlignment="1">
      <alignment horizontal="center"/>
    </xf>
    <xf numFmtId="164" fontId="9" fillId="18" borderId="0" xfId="0" applyNumberFormat="1" applyFont="1" applyFill="1" applyAlignment="1">
      <alignment horizontal="right"/>
    </xf>
    <xf numFmtId="164" fontId="0" fillId="18" borderId="0" xfId="0" applyNumberFormat="1" applyFill="1" applyAlignment="1">
      <alignment horizontal="right"/>
    </xf>
    <xf numFmtId="0" fontId="7" fillId="18" borderId="20" xfId="0" applyFont="1" applyFill="1" applyBorder="1" applyAlignment="1">
      <alignment horizontal="center"/>
    </xf>
    <xf numFmtId="164" fontId="11" fillId="18" borderId="22" xfId="0" applyNumberFormat="1" applyFont="1" applyFill="1" applyBorder="1" applyAlignment="1">
      <alignment horizontal="right"/>
    </xf>
    <xf numFmtId="164" fontId="1" fillId="18" borderId="24" xfId="0" applyNumberFormat="1" applyFont="1" applyFill="1" applyBorder="1" applyAlignment="1">
      <alignment horizontal="center" wrapText="1"/>
    </xf>
    <xf numFmtId="14" fontId="1" fillId="0" borderId="0" xfId="0" applyNumberFormat="1" applyFont="1" applyAlignment="1">
      <alignment horizontal="center" vertical="center" wrapText="1"/>
    </xf>
    <xf numFmtId="164" fontId="1" fillId="10" borderId="23" xfId="0" applyNumberFormat="1" applyFont="1" applyFill="1" applyBorder="1" applyAlignment="1">
      <alignment horizontal="center"/>
    </xf>
    <xf numFmtId="164" fontId="1" fillId="11" borderId="35" xfId="0" applyNumberFormat="1" applyFont="1" applyFill="1" applyBorder="1" applyAlignment="1">
      <alignment horizontal="center"/>
    </xf>
    <xf numFmtId="164" fontId="1" fillId="10" borderId="83" xfId="0" applyNumberFormat="1" applyFont="1" applyFill="1" applyBorder="1" applyAlignment="1">
      <alignment horizontal="center"/>
    </xf>
    <xf numFmtId="0" fontId="1" fillId="10" borderId="83" xfId="0" applyFont="1" applyFill="1" applyBorder="1" applyAlignment="1">
      <alignment horizontal="center"/>
    </xf>
    <xf numFmtId="164" fontId="1" fillId="10" borderId="83" xfId="0" applyNumberFormat="1" applyFont="1" applyFill="1" applyBorder="1" applyAlignment="1">
      <alignment horizontal="right" vertical="center"/>
    </xf>
    <xf numFmtId="14" fontId="0" fillId="10" borderId="83" xfId="0" applyNumberFormat="1" applyFill="1" applyBorder="1" applyAlignment="1">
      <alignment horizontal="center"/>
    </xf>
    <xf numFmtId="164" fontId="8" fillId="10" borderId="83" xfId="0" applyNumberFormat="1" applyFont="1" applyFill="1" applyBorder="1" applyAlignment="1">
      <alignment horizontal="right"/>
    </xf>
    <xf numFmtId="0" fontId="0" fillId="10" borderId="83" xfId="0" applyFill="1" applyBorder="1"/>
    <xf numFmtId="0" fontId="0" fillId="10" borderId="83" xfId="0" applyFill="1" applyBorder="1" applyAlignment="1">
      <alignment horizontal="center"/>
    </xf>
    <xf numFmtId="164" fontId="1" fillId="10" borderId="84" xfId="0" applyNumberFormat="1" applyFont="1" applyFill="1" applyBorder="1" applyAlignment="1">
      <alignment horizontal="center" wrapText="1"/>
    </xf>
    <xf numFmtId="0" fontId="1" fillId="11" borderId="0" xfId="0" applyFont="1" applyFill="1" applyAlignment="1">
      <alignment horizontal="center"/>
    </xf>
    <xf numFmtId="164" fontId="1" fillId="11" borderId="28" xfId="0" applyNumberFormat="1" applyFont="1" applyFill="1" applyBorder="1" applyAlignment="1">
      <alignment horizontal="right" vertical="center"/>
    </xf>
    <xf numFmtId="14" fontId="0" fillId="11" borderId="0" xfId="0" applyNumberFormat="1" applyFill="1" applyAlignment="1">
      <alignment horizontal="center"/>
    </xf>
    <xf numFmtId="164" fontId="8" fillId="11" borderId="28" xfId="0" applyNumberFormat="1" applyFont="1" applyFill="1" applyBorder="1" applyAlignment="1">
      <alignment horizontal="right"/>
    </xf>
    <xf numFmtId="164" fontId="8" fillId="11" borderId="0" xfId="0" applyNumberFormat="1" applyFont="1" applyFill="1" applyAlignment="1">
      <alignment horizontal="right"/>
    </xf>
    <xf numFmtId="0" fontId="0" fillId="11" borderId="0" xfId="0" applyFill="1"/>
    <xf numFmtId="0" fontId="0" fillId="11" borderId="0" xfId="0" applyFill="1" applyAlignment="1">
      <alignment horizontal="center"/>
    </xf>
    <xf numFmtId="164" fontId="1" fillId="11" borderId="50" xfId="0" applyNumberFormat="1" applyFont="1" applyFill="1" applyBorder="1" applyAlignment="1">
      <alignment horizontal="center" wrapText="1"/>
    </xf>
    <xf numFmtId="164" fontId="1" fillId="11" borderId="22" xfId="0" applyNumberFormat="1" applyFont="1" applyFill="1" applyBorder="1" applyAlignment="1">
      <alignment horizontal="right" vertical="center"/>
    </xf>
    <xf numFmtId="164" fontId="8" fillId="11" borderId="22" xfId="0" applyNumberFormat="1" applyFont="1" applyFill="1" applyBorder="1" applyAlignment="1">
      <alignment horizontal="right"/>
    </xf>
    <xf numFmtId="164" fontId="1" fillId="11" borderId="24" xfId="0" applyNumberFormat="1" applyFont="1" applyFill="1" applyBorder="1" applyAlignment="1">
      <alignment horizontal="center" wrapText="1"/>
    </xf>
    <xf numFmtId="14" fontId="0" fillId="0" borderId="79" xfId="0" applyNumberFormat="1" applyBorder="1"/>
    <xf numFmtId="0" fontId="9" fillId="0" borderId="0" xfId="0" applyFont="1"/>
    <xf numFmtId="0" fontId="1" fillId="0" borderId="79" xfId="0" applyFont="1" applyBorder="1"/>
    <xf numFmtId="14" fontId="0" fillId="19" borderId="79" xfId="0" applyNumberFormat="1" applyFill="1" applyBorder="1"/>
    <xf numFmtId="0" fontId="0" fillId="19" borderId="79" xfId="0" applyFill="1" applyBorder="1"/>
    <xf numFmtId="0" fontId="7" fillId="18" borderId="20" xfId="0" applyFont="1" applyFill="1" applyBorder="1" applyAlignment="1">
      <alignment horizontal="center" wrapText="1"/>
    </xf>
    <xf numFmtId="14" fontId="1" fillId="19" borderId="79" xfId="0" applyNumberFormat="1" applyFont="1" applyFill="1" applyBorder="1"/>
    <xf numFmtId="14" fontId="0" fillId="0" borderId="0" xfId="0" applyNumberFormat="1" applyAlignment="1">
      <alignment horizontal="center" wrapText="1"/>
    </xf>
    <xf numFmtId="164" fontId="1" fillId="4" borderId="0" xfId="0" applyNumberFormat="1" applyFont="1" applyFill="1" applyAlignment="1">
      <alignment horizontal="center"/>
    </xf>
    <xf numFmtId="164" fontId="0" fillId="20" borderId="0" xfId="0" applyNumberFormat="1" applyFill="1" applyAlignment="1">
      <alignment horizontal="center"/>
    </xf>
    <xf numFmtId="164" fontId="1" fillId="20" borderId="22" xfId="0" applyNumberFormat="1" applyFont="1" applyFill="1" applyBorder="1" applyAlignment="1">
      <alignment horizontal="right" vertical="center"/>
    </xf>
    <xf numFmtId="164" fontId="8" fillId="16" borderId="22" xfId="0" applyNumberFormat="1" applyFont="1" applyFill="1" applyBorder="1" applyAlignment="1">
      <alignment horizontal="right"/>
    </xf>
    <xf numFmtId="0" fontId="1" fillId="16" borderId="22" xfId="0" applyFont="1" applyFill="1" applyBorder="1" applyAlignment="1">
      <alignment horizontal="center"/>
    </xf>
    <xf numFmtId="0" fontId="1" fillId="19" borderId="79" xfId="0" applyFont="1" applyFill="1" applyBorder="1"/>
    <xf numFmtId="0" fontId="1" fillId="19" borderId="79" xfId="0" applyFont="1" applyFill="1" applyBorder="1" applyAlignment="1">
      <alignment wrapText="1"/>
    </xf>
    <xf numFmtId="0" fontId="1" fillId="0" borderId="85" xfId="0" applyFont="1" applyBorder="1" applyAlignment="1">
      <alignment horizontal="center" vertical="center"/>
    </xf>
    <xf numFmtId="14" fontId="1" fillId="0" borderId="85" xfId="0" applyNumberFormat="1" applyFont="1" applyBorder="1" applyAlignment="1">
      <alignment horizontal="center" vertical="center"/>
    </xf>
    <xf numFmtId="0" fontId="0" fillId="0" borderId="85" xfId="0" applyBorder="1" applyAlignment="1">
      <alignment horizontal="center" vertical="center"/>
    </xf>
    <xf numFmtId="164" fontId="0" fillId="0" borderId="86" xfId="0" applyNumberFormat="1" applyBorder="1" applyAlignment="1">
      <alignment horizontal="center"/>
    </xf>
    <xf numFmtId="164" fontId="0" fillId="0" borderId="87" xfId="0" applyNumberFormat="1" applyBorder="1" applyAlignment="1">
      <alignment horizontal="center"/>
    </xf>
    <xf numFmtId="164" fontId="9" fillId="0" borderId="87" xfId="0" applyNumberFormat="1" applyFont="1" applyBorder="1" applyAlignment="1">
      <alignment horizontal="right"/>
    </xf>
    <xf numFmtId="0" fontId="1" fillId="0" borderId="88" xfId="0" applyFont="1" applyBorder="1" applyAlignment="1">
      <alignment horizontal="center" vertical="center"/>
    </xf>
    <xf numFmtId="0" fontId="0" fillId="0" borderId="89" xfId="0" applyBorder="1" applyAlignment="1">
      <alignment horizontal="center" vertical="center"/>
    </xf>
    <xf numFmtId="14" fontId="1" fillId="0" borderId="90" xfId="0" applyNumberFormat="1" applyFont="1" applyBorder="1" applyAlignment="1">
      <alignment horizontal="center" vertical="center"/>
    </xf>
    <xf numFmtId="14" fontId="1" fillId="0" borderId="89" xfId="0" applyNumberFormat="1" applyFont="1" applyBorder="1" applyAlignment="1">
      <alignment horizontal="center" vertical="center"/>
    </xf>
    <xf numFmtId="0" fontId="1" fillId="0" borderId="89" xfId="0" applyFont="1" applyBorder="1" applyAlignment="1">
      <alignment horizontal="center" vertical="center"/>
    </xf>
    <xf numFmtId="164" fontId="1" fillId="0" borderId="16" xfId="0" applyNumberFormat="1" applyFont="1" applyBorder="1" applyAlignment="1">
      <alignment horizontal="center"/>
    </xf>
    <xf numFmtId="164" fontId="1" fillId="0" borderId="17" xfId="0" applyNumberFormat="1" applyFont="1" applyBorder="1" applyAlignment="1">
      <alignment horizontal="center"/>
    </xf>
    <xf numFmtId="164" fontId="1" fillId="0" borderId="18" xfId="0" applyNumberFormat="1" applyFont="1" applyBorder="1" applyAlignment="1">
      <alignment horizontal="center"/>
    </xf>
    <xf numFmtId="164" fontId="1" fillId="0" borderId="91" xfId="0" applyNumberFormat="1" applyFont="1" applyBorder="1" applyAlignment="1">
      <alignment horizontal="center" wrapText="1"/>
    </xf>
    <xf numFmtId="164" fontId="1" fillId="0" borderId="17" xfId="0" applyNumberFormat="1" applyFont="1" applyBorder="1" applyAlignment="1">
      <alignment horizontal="right"/>
    </xf>
    <xf numFmtId="14" fontId="1" fillId="0" borderId="17" xfId="0" applyNumberFormat="1" applyFont="1" applyBorder="1" applyAlignment="1">
      <alignment horizontal="center" wrapText="1"/>
    </xf>
    <xf numFmtId="14" fontId="1" fillId="0" borderId="17" xfId="0" applyNumberFormat="1" applyFont="1" applyBorder="1" applyAlignment="1">
      <alignment horizontal="center"/>
    </xf>
    <xf numFmtId="164" fontId="1" fillId="0" borderId="18" xfId="0" applyNumberFormat="1" applyFont="1" applyBorder="1" applyAlignment="1">
      <alignment horizontal="center" wrapText="1"/>
    </xf>
    <xf numFmtId="0" fontId="26" fillId="0" borderId="0" xfId="0" applyFont="1" applyAlignment="1">
      <alignment horizontal="center"/>
    </xf>
    <xf numFmtId="164" fontId="1" fillId="21" borderId="24" xfId="0" applyNumberFormat="1" applyFont="1" applyFill="1" applyBorder="1" applyAlignment="1">
      <alignment horizontal="center" wrapText="1"/>
    </xf>
    <xf numFmtId="0" fontId="1" fillId="7" borderId="22" xfId="0" applyFont="1" applyFill="1" applyBorder="1" applyAlignment="1">
      <alignment horizontal="center"/>
    </xf>
    <xf numFmtId="164" fontId="1" fillId="7" borderId="22" xfId="0" applyNumberFormat="1" applyFont="1" applyFill="1" applyBorder="1" applyAlignment="1">
      <alignment horizontal="right"/>
    </xf>
    <xf numFmtId="14" fontId="1" fillId="7" borderId="22" xfId="0" applyNumberFormat="1" applyFont="1" applyFill="1" applyBorder="1" applyAlignment="1">
      <alignment horizontal="center"/>
    </xf>
    <xf numFmtId="164" fontId="1" fillId="7" borderId="0" xfId="0" applyNumberFormat="1" applyFont="1" applyFill="1" applyAlignment="1">
      <alignment horizontal="right"/>
    </xf>
    <xf numFmtId="164" fontId="11" fillId="7" borderId="22" xfId="0" applyNumberFormat="1" applyFont="1" applyFill="1" applyBorder="1" applyAlignment="1">
      <alignment horizontal="right"/>
    </xf>
    <xf numFmtId="164" fontId="1" fillId="7" borderId="24" xfId="0" applyNumberFormat="1" applyFont="1" applyFill="1" applyBorder="1" applyAlignment="1">
      <alignment horizontal="center"/>
    </xf>
    <xf numFmtId="0" fontId="0" fillId="19" borderId="92" xfId="0" applyFill="1" applyBorder="1"/>
    <xf numFmtId="0" fontId="1" fillId="0" borderId="92" xfId="0" applyFont="1" applyBorder="1"/>
    <xf numFmtId="14" fontId="1" fillId="0" borderId="0" xfId="0" applyNumberFormat="1" applyFont="1"/>
    <xf numFmtId="4" fontId="1" fillId="0" borderId="1" xfId="0" applyNumberFormat="1" applyFont="1" applyBorder="1"/>
    <xf numFmtId="0" fontId="0" fillId="0" borderId="93" xfId="0" applyBorder="1" applyAlignment="1">
      <alignment horizontal="center" vertical="center"/>
    </xf>
    <xf numFmtId="164" fontId="1" fillId="0" borderId="79" xfId="0" applyNumberFormat="1" applyFont="1" applyBorder="1" applyAlignment="1">
      <alignment horizontal="right"/>
    </xf>
    <xf numFmtId="8" fontId="1" fillId="0" borderId="79" xfId="0" applyNumberFormat="1" applyFont="1" applyBorder="1"/>
    <xf numFmtId="14" fontId="1" fillId="10" borderId="59" xfId="0" applyNumberFormat="1" applyFont="1" applyFill="1" applyBorder="1" applyAlignment="1">
      <alignment horizontal="center"/>
    </xf>
    <xf numFmtId="164" fontId="27" fillId="0" borderId="1" xfId="2" applyNumberFormat="1" applyBorder="1" applyAlignment="1">
      <alignment horizontal="right"/>
    </xf>
    <xf numFmtId="164" fontId="1" fillId="10" borderId="1" xfId="0" applyNumberFormat="1" applyFont="1" applyFill="1" applyBorder="1" applyAlignment="1">
      <alignment horizontal="right"/>
    </xf>
    <xf numFmtId="164" fontId="1" fillId="0" borderId="22" xfId="1" applyNumberFormat="1" applyFont="1" applyBorder="1" applyAlignment="1">
      <alignment horizontal="right"/>
    </xf>
    <xf numFmtId="164" fontId="27" fillId="0" borderId="22" xfId="2" applyNumberFormat="1" applyBorder="1" applyAlignment="1">
      <alignment horizontal="center" vertical="center"/>
    </xf>
    <xf numFmtId="164" fontId="27" fillId="0" borderId="1" xfId="2" applyNumberFormat="1" applyBorder="1" applyAlignment="1">
      <alignment horizontal="center"/>
    </xf>
    <xf numFmtId="14" fontId="27" fillId="0" borderId="0" xfId="2" applyNumberFormat="1" applyAlignment="1">
      <alignment horizontal="center"/>
    </xf>
    <xf numFmtId="14" fontId="27" fillId="0" borderId="12" xfId="2" applyNumberFormat="1" applyBorder="1" applyAlignment="1">
      <alignment horizontal="right"/>
    </xf>
    <xf numFmtId="0" fontId="27" fillId="0" borderId="0" xfId="2"/>
    <xf numFmtId="0" fontId="27" fillId="0" borderId="75" xfId="2" applyBorder="1" applyAlignment="1">
      <alignment horizontal="center" vertical="center"/>
    </xf>
    <xf numFmtId="164" fontId="8" fillId="13" borderId="1" xfId="0" applyNumberFormat="1" applyFont="1" applyFill="1" applyBorder="1" applyAlignment="1">
      <alignment horizontal="right"/>
    </xf>
    <xf numFmtId="14" fontId="27" fillId="0" borderId="22" xfId="2" applyNumberFormat="1" applyBorder="1" applyAlignment="1">
      <alignment horizontal="center"/>
    </xf>
    <xf numFmtId="0" fontId="27" fillId="0" borderId="22" xfId="2" applyBorder="1" applyAlignment="1">
      <alignment horizontal="center"/>
    </xf>
    <xf numFmtId="164" fontId="27" fillId="0" borderId="22" xfId="2" applyNumberFormat="1" applyBorder="1" applyAlignment="1">
      <alignment horizontal="right"/>
    </xf>
    <xf numFmtId="164" fontId="1" fillId="3" borderId="52" xfId="0" applyNumberFormat="1" applyFont="1" applyFill="1" applyBorder="1" applyAlignment="1">
      <alignment horizontal="center"/>
    </xf>
    <xf numFmtId="164" fontId="1" fillId="0" borderId="59" xfId="0" applyNumberFormat="1" applyFont="1" applyBorder="1" applyAlignment="1">
      <alignment horizontal="right"/>
    </xf>
    <xf numFmtId="164" fontId="1" fillId="0" borderId="60" xfId="0" applyNumberFormat="1" applyFont="1" applyBorder="1" applyAlignment="1">
      <alignment horizontal="right"/>
    </xf>
    <xf numFmtId="164" fontId="1" fillId="0" borderId="25" xfId="0" applyNumberFormat="1" applyFont="1" applyBorder="1" applyAlignment="1">
      <alignment horizontal="center"/>
    </xf>
    <xf numFmtId="164" fontId="1" fillId="0" borderId="56" xfId="0" applyNumberFormat="1" applyFont="1" applyBorder="1" applyAlignment="1">
      <alignment horizontal="right"/>
    </xf>
    <xf numFmtId="164" fontId="1" fillId="17" borderId="22" xfId="0" applyNumberFormat="1" applyFont="1" applyFill="1" applyBorder="1" applyAlignment="1">
      <alignment horizontal="right"/>
    </xf>
    <xf numFmtId="164" fontId="1" fillId="0" borderId="28" xfId="0" applyNumberFormat="1" applyFont="1" applyBorder="1" applyAlignment="1">
      <alignment horizontal="right"/>
    </xf>
    <xf numFmtId="164" fontId="1" fillId="0" borderId="75" xfId="0" applyNumberFormat="1" applyFont="1" applyBorder="1" applyAlignment="1">
      <alignment horizontal="right"/>
    </xf>
    <xf numFmtId="164" fontId="1" fillId="14" borderId="28" xfId="0" applyNumberFormat="1" applyFont="1" applyFill="1" applyBorder="1" applyAlignment="1">
      <alignment horizontal="right"/>
    </xf>
    <xf numFmtId="164" fontId="1" fillId="14" borderId="23" xfId="0" applyNumberFormat="1" applyFont="1" applyFill="1" applyBorder="1" applyAlignment="1">
      <alignment horizontal="center"/>
    </xf>
    <xf numFmtId="164" fontId="1" fillId="17" borderId="75" xfId="0" applyNumberFormat="1" applyFont="1" applyFill="1" applyBorder="1" applyAlignment="1">
      <alignment horizontal="right"/>
    </xf>
    <xf numFmtId="164" fontId="1" fillId="0" borderId="89" xfId="0" applyNumberFormat="1" applyFont="1" applyBorder="1" applyAlignment="1">
      <alignment horizontal="right"/>
    </xf>
    <xf numFmtId="164" fontId="1" fillId="0" borderId="89" xfId="0" applyNumberFormat="1" applyFont="1" applyBorder="1" applyAlignment="1">
      <alignment horizontal="right" vertical="center"/>
    </xf>
    <xf numFmtId="164" fontId="1" fillId="0" borderId="89" xfId="0" applyNumberFormat="1" applyFont="1" applyBorder="1" applyAlignment="1">
      <alignment horizontal="center"/>
    </xf>
    <xf numFmtId="164" fontId="1" fillId="0" borderId="85" xfId="0" applyNumberFormat="1" applyFont="1" applyBorder="1" applyAlignment="1">
      <alignment horizontal="right"/>
    </xf>
    <xf numFmtId="0" fontId="7" fillId="0" borderId="20" xfId="0" applyFont="1" applyBorder="1" applyAlignment="1">
      <alignment horizontal="center"/>
    </xf>
    <xf numFmtId="164" fontId="27" fillId="0" borderId="12" xfId="2" applyNumberFormat="1" applyBorder="1" applyAlignment="1">
      <alignment horizontal="center"/>
    </xf>
    <xf numFmtId="0" fontId="27" fillId="0" borderId="1" xfId="2" applyBorder="1" applyAlignment="1">
      <alignment horizontal="center"/>
    </xf>
    <xf numFmtId="14" fontId="27" fillId="0" borderId="56" xfId="2" applyNumberFormat="1" applyBorder="1" applyAlignment="1">
      <alignment horizontal="center" vertical="center"/>
    </xf>
    <xf numFmtId="14" fontId="27" fillId="0" borderId="1" xfId="2" applyNumberFormat="1" applyBorder="1" applyAlignment="1">
      <alignment horizontal="center"/>
    </xf>
    <xf numFmtId="164" fontId="11" fillId="0" borderId="56" xfId="0" applyNumberFormat="1" applyFont="1" applyBorder="1" applyAlignment="1">
      <alignment horizontal="right" vertical="center"/>
    </xf>
    <xf numFmtId="164" fontId="1" fillId="0" borderId="56" xfId="0" applyNumberFormat="1" applyFont="1" applyBorder="1" applyAlignment="1">
      <alignment horizontal="right" vertical="center"/>
    </xf>
    <xf numFmtId="164" fontId="11" fillId="10" borderId="59" xfId="0" applyNumberFormat="1" applyFont="1" applyFill="1" applyBorder="1" applyAlignment="1">
      <alignment horizontal="right"/>
    </xf>
    <xf numFmtId="164" fontId="11" fillId="0" borderId="59" xfId="0" applyNumberFormat="1" applyFont="1" applyBorder="1" applyAlignment="1">
      <alignment horizontal="right" vertical="center"/>
    </xf>
    <xf numFmtId="164" fontId="11" fillId="0" borderId="59" xfId="0" applyNumberFormat="1" applyFont="1" applyBorder="1" applyAlignment="1">
      <alignment horizontal="right"/>
    </xf>
    <xf numFmtId="164" fontId="11" fillId="0" borderId="56" xfId="0" applyNumberFormat="1" applyFont="1" applyBorder="1" applyAlignment="1">
      <alignment horizontal="right"/>
    </xf>
    <xf numFmtId="14" fontId="27" fillId="0" borderId="75" xfId="2" applyNumberFormat="1" applyBorder="1" applyAlignment="1">
      <alignment horizontal="center" vertical="center"/>
    </xf>
    <xf numFmtId="14" fontId="27" fillId="0" borderId="85" xfId="2" applyNumberFormat="1" applyBorder="1" applyAlignment="1">
      <alignment horizontal="center" vertical="center"/>
    </xf>
    <xf numFmtId="14" fontId="27" fillId="0" borderId="90" xfId="2" applyNumberFormat="1" applyBorder="1" applyAlignment="1">
      <alignment horizontal="center" vertical="center"/>
    </xf>
    <xf numFmtId="164" fontId="0" fillId="0" borderId="35" xfId="0" applyNumberFormat="1" applyBorder="1" applyAlignment="1">
      <alignment horizontal="center"/>
    </xf>
    <xf numFmtId="164" fontId="0" fillId="0" borderId="28" xfId="0" applyNumberFormat="1" applyBorder="1" applyAlignment="1">
      <alignment horizontal="center"/>
    </xf>
    <xf numFmtId="164" fontId="9" fillId="0" borderId="28" xfId="0" applyNumberFormat="1" applyFont="1" applyBorder="1" applyAlignment="1">
      <alignment horizontal="right"/>
    </xf>
    <xf numFmtId="0" fontId="27" fillId="0" borderId="27" xfId="2" applyNumberFormat="1" applyBorder="1" applyAlignment="1">
      <alignment horizontal="center"/>
    </xf>
    <xf numFmtId="0" fontId="0" fillId="0" borderId="71" xfId="0" applyBorder="1" applyAlignment="1">
      <alignment horizontal="center" vertical="center"/>
    </xf>
    <xf numFmtId="164" fontId="1" fillId="0" borderId="95" xfId="0" applyNumberFormat="1" applyFont="1" applyBorder="1" applyAlignment="1">
      <alignment horizontal="center"/>
    </xf>
    <xf numFmtId="164" fontId="1" fillId="0" borderId="71" xfId="0" applyNumberFormat="1" applyFont="1" applyBorder="1" applyAlignment="1">
      <alignment horizontal="center"/>
    </xf>
    <xf numFmtId="164" fontId="1" fillId="0" borderId="53" xfId="0" applyNumberFormat="1" applyFont="1" applyBorder="1" applyAlignment="1">
      <alignment horizontal="center"/>
    </xf>
    <xf numFmtId="164" fontId="1" fillId="0" borderId="56" xfId="0" applyNumberFormat="1" applyFont="1" applyBorder="1" applyAlignment="1">
      <alignment horizontal="center"/>
    </xf>
    <xf numFmtId="164" fontId="1" fillId="0" borderId="56" xfId="0" applyNumberFormat="1" applyFont="1" applyBorder="1" applyAlignment="1">
      <alignment horizontal="center" vertical="center"/>
    </xf>
    <xf numFmtId="164" fontId="0" fillId="0" borderId="96" xfId="0" applyNumberFormat="1" applyBorder="1" applyAlignment="1">
      <alignment horizontal="center"/>
    </xf>
    <xf numFmtId="164" fontId="0" fillId="0" borderId="93" xfId="0" applyNumberFormat="1" applyBorder="1" applyAlignment="1">
      <alignment horizontal="center"/>
    </xf>
    <xf numFmtId="164" fontId="1" fillId="12" borderId="56" xfId="0" applyNumberFormat="1" applyFont="1" applyFill="1" applyBorder="1" applyAlignment="1">
      <alignment horizontal="center"/>
    </xf>
    <xf numFmtId="164" fontId="0" fillId="0" borderId="91" xfId="0" applyNumberFormat="1" applyBorder="1" applyAlignment="1">
      <alignment horizontal="center"/>
    </xf>
    <xf numFmtId="164" fontId="1" fillId="17" borderId="56" xfId="0" applyNumberFormat="1" applyFont="1" applyFill="1" applyBorder="1" applyAlignment="1">
      <alignment horizontal="center"/>
    </xf>
    <xf numFmtId="0" fontId="1" fillId="0" borderId="93" xfId="0" applyFont="1" applyBorder="1" applyAlignment="1">
      <alignment horizontal="center" vertical="center"/>
    </xf>
    <xf numFmtId="0" fontId="1" fillId="0" borderId="97" xfId="0" applyFont="1" applyBorder="1" applyAlignment="1">
      <alignment horizontal="center" vertical="center"/>
    </xf>
    <xf numFmtId="0" fontId="1" fillId="17" borderId="98" xfId="0" applyFont="1" applyFill="1" applyBorder="1" applyAlignment="1">
      <alignment horizontal="center" vertical="center"/>
    </xf>
    <xf numFmtId="164" fontId="1" fillId="14" borderId="93" xfId="0" applyNumberFormat="1" applyFont="1" applyFill="1" applyBorder="1" applyAlignment="1">
      <alignment horizontal="center"/>
    </xf>
    <xf numFmtId="0" fontId="1" fillId="6" borderId="93" xfId="0" applyFont="1" applyFill="1" applyBorder="1" applyAlignment="1">
      <alignment horizontal="center" vertical="center"/>
    </xf>
    <xf numFmtId="0" fontId="1" fillId="6" borderId="97" xfId="0" applyFont="1" applyFill="1" applyBorder="1" applyAlignment="1">
      <alignment horizontal="center" vertical="center"/>
    </xf>
    <xf numFmtId="0" fontId="1" fillId="0" borderId="98" xfId="0" applyFont="1" applyBorder="1" applyAlignment="1">
      <alignment horizontal="center" vertical="center"/>
    </xf>
    <xf numFmtId="164" fontId="1" fillId="0" borderId="93" xfId="0" applyNumberFormat="1" applyFont="1" applyBorder="1" applyAlignment="1">
      <alignment horizontal="center"/>
    </xf>
    <xf numFmtId="0" fontId="1" fillId="0" borderId="71" xfId="0" applyFont="1" applyBorder="1" applyAlignment="1">
      <alignment horizontal="center" vertical="center"/>
    </xf>
    <xf numFmtId="0" fontId="1" fillId="0" borderId="56" xfId="0" applyFont="1" applyBorder="1" applyAlignment="1">
      <alignment horizontal="center" vertical="center"/>
    </xf>
    <xf numFmtId="0" fontId="1" fillId="0" borderId="53" xfId="0" applyFont="1" applyBorder="1" applyAlignment="1">
      <alignment horizontal="center" vertical="center"/>
    </xf>
    <xf numFmtId="164" fontId="1" fillId="0" borderId="60" xfId="0" applyNumberFormat="1" applyFont="1" applyBorder="1" applyAlignment="1">
      <alignment horizontal="center" vertical="center"/>
    </xf>
    <xf numFmtId="44" fontId="5" fillId="0" borderId="0" xfId="1" applyFont="1" applyAlignment="1">
      <alignment horizontal="center"/>
    </xf>
    <xf numFmtId="44" fontId="7" fillId="0" borderId="0" xfId="1" applyFont="1" applyAlignment="1">
      <alignment horizontal="left"/>
    </xf>
    <xf numFmtId="44" fontId="29" fillId="0" borderId="0" xfId="1" applyFont="1" applyAlignment="1">
      <alignment horizontal="center"/>
    </xf>
    <xf numFmtId="164" fontId="27" fillId="0" borderId="59" xfId="2" applyNumberFormat="1" applyBorder="1" applyAlignment="1">
      <alignment horizontal="right" vertical="center"/>
    </xf>
    <xf numFmtId="0" fontId="0" fillId="0" borderId="0" xfId="0" applyAlignment="1">
      <alignment horizontal="center"/>
    </xf>
    <xf numFmtId="0" fontId="0" fillId="0" borderId="0" xfId="0" applyAlignment="1">
      <alignment horizontal="center" vertical="top"/>
    </xf>
    <xf numFmtId="0" fontId="9" fillId="0" borderId="29" xfId="0" applyFont="1" applyBorder="1" applyAlignment="1">
      <alignment horizontal="center"/>
    </xf>
    <xf numFmtId="0" fontId="9" fillId="0" borderId="0" xfId="0" applyFont="1" applyAlignment="1">
      <alignment horizontal="center"/>
    </xf>
    <xf numFmtId="0" fontId="9" fillId="0" borderId="30" xfId="0" applyFont="1" applyBorder="1" applyAlignment="1">
      <alignment horizontal="center"/>
    </xf>
    <xf numFmtId="0" fontId="1" fillId="0" borderId="47" xfId="0" applyFont="1" applyBorder="1" applyAlignment="1">
      <alignment horizontal="center"/>
    </xf>
    <xf numFmtId="0" fontId="0" fillId="0" borderId="34" xfId="0" applyBorder="1" applyAlignment="1">
      <alignment horizontal="center"/>
    </xf>
    <xf numFmtId="0" fontId="1" fillId="0" borderId="46" xfId="0" applyFont="1" applyBorder="1" applyAlignment="1">
      <alignment horizontal="center"/>
    </xf>
    <xf numFmtId="0" fontId="0" fillId="0" borderId="38" xfId="0" applyBorder="1" applyAlignment="1">
      <alignment horizontal="center"/>
    </xf>
    <xf numFmtId="0" fontId="9" fillId="0" borderId="48" xfId="0" applyFont="1" applyBorder="1" applyAlignment="1">
      <alignment horizontal="center"/>
    </xf>
    <xf numFmtId="0" fontId="9" fillId="0" borderId="34" xfId="0" applyFont="1" applyBorder="1" applyAlignment="1">
      <alignment horizontal="center"/>
    </xf>
    <xf numFmtId="0" fontId="9" fillId="0" borderId="49"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8" fillId="0" borderId="0" xfId="0" applyFont="1" applyAlignment="1">
      <alignment horizontal="center"/>
    </xf>
    <xf numFmtId="0" fontId="1" fillId="0" borderId="0" xfId="0" applyFont="1" applyAlignment="1">
      <alignment horizontal="center"/>
    </xf>
    <xf numFmtId="0" fontId="0" fillId="0" borderId="39" xfId="0" applyBorder="1" applyAlignment="1">
      <alignment horizontal="center"/>
    </xf>
    <xf numFmtId="0" fontId="0" fillId="0" borderId="37" xfId="0" applyBorder="1" applyAlignment="1">
      <alignment horizontal="center"/>
    </xf>
    <xf numFmtId="0" fontId="1" fillId="0" borderId="0" xfId="0" applyFont="1" applyAlignment="1">
      <alignment horizontal="center" vertical="top"/>
    </xf>
    <xf numFmtId="0" fontId="0" fillId="0" borderId="0" xfId="0"/>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17" fillId="0" borderId="0" xfId="0" applyFont="1" applyAlignment="1">
      <alignment horizontal="center"/>
    </xf>
    <xf numFmtId="0" fontId="7" fillId="0" borderId="0" xfId="0" applyFont="1" applyAlignment="1">
      <alignment horizontal="left"/>
    </xf>
    <xf numFmtId="0" fontId="0" fillId="0" borderId="0" xfId="0" applyAlignment="1">
      <alignment horizontal="left"/>
    </xf>
    <xf numFmtId="164" fontId="1" fillId="0" borderId="23" xfId="0" applyNumberFormat="1"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164" fontId="1" fillId="0" borderId="22" xfId="0" applyNumberFormat="1"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164" fontId="1" fillId="0" borderId="22" xfId="0" applyNumberFormat="1" applyFont="1" applyBorder="1" applyAlignment="1">
      <alignment horizontal="right" vertical="center"/>
    </xf>
    <xf numFmtId="0" fontId="0" fillId="0" borderId="28" xfId="0" applyBorder="1" applyAlignment="1">
      <alignment horizontal="right" vertical="center"/>
    </xf>
    <xf numFmtId="0" fontId="0" fillId="0" borderId="27" xfId="0" applyBorder="1" applyAlignment="1">
      <alignment horizontal="right" vertical="center"/>
    </xf>
    <xf numFmtId="14" fontId="1" fillId="0" borderId="22" xfId="0" applyNumberFormat="1" applyFont="1" applyBorder="1" applyAlignment="1">
      <alignment horizontal="center" vertical="center"/>
    </xf>
    <xf numFmtId="164" fontId="18" fillId="0" borderId="22" xfId="0" applyNumberFormat="1" applyFont="1" applyBorder="1" applyAlignment="1">
      <alignment horizontal="right"/>
    </xf>
    <xf numFmtId="0" fontId="0" fillId="0" borderId="27" xfId="0" applyBorder="1" applyAlignment="1">
      <alignment horizontal="right"/>
    </xf>
    <xf numFmtId="0" fontId="18" fillId="0" borderId="22" xfId="0" applyFont="1" applyBorder="1" applyAlignment="1">
      <alignment horizontal="center" vertical="center"/>
    </xf>
    <xf numFmtId="164" fontId="1" fillId="0" borderId="24" xfId="0" applyNumberFormat="1" applyFont="1" applyBorder="1" applyAlignment="1">
      <alignment horizontal="center" vertical="center"/>
    </xf>
    <xf numFmtId="0" fontId="0" fillId="0" borderId="40" xfId="0" applyBorder="1" applyAlignment="1">
      <alignment horizontal="center" vertical="center"/>
    </xf>
    <xf numFmtId="164" fontId="1" fillId="0" borderId="22" xfId="0" applyNumberFormat="1" applyFont="1" applyBorder="1" applyAlignment="1">
      <alignment horizontal="center"/>
    </xf>
    <xf numFmtId="0" fontId="0" fillId="0" borderId="27" xfId="0" applyBorder="1" applyAlignment="1">
      <alignment horizontal="center"/>
    </xf>
    <xf numFmtId="0" fontId="7" fillId="0" borderId="20" xfId="0" applyFont="1" applyBorder="1" applyAlignment="1">
      <alignment horizontal="left"/>
    </xf>
    <xf numFmtId="0" fontId="1" fillId="0" borderId="22" xfId="0" applyFont="1" applyBorder="1" applyAlignment="1">
      <alignment horizontal="center" vertical="center"/>
    </xf>
    <xf numFmtId="164" fontId="11" fillId="0" borderId="22" xfId="0" applyNumberFormat="1" applyFont="1" applyBorder="1" applyAlignment="1">
      <alignment horizontal="right" vertical="center"/>
    </xf>
    <xf numFmtId="164" fontId="8" fillId="0" borderId="22" xfId="0" applyNumberFormat="1" applyFont="1" applyBorder="1" applyAlignment="1">
      <alignment horizontal="right" vertical="center"/>
    </xf>
    <xf numFmtId="164" fontId="1" fillId="0" borderId="22" xfId="0" applyNumberFormat="1" applyFont="1" applyBorder="1" applyAlignment="1">
      <alignment horizontal="center" vertical="center" wrapText="1"/>
    </xf>
    <xf numFmtId="0" fontId="0" fillId="0" borderId="27" xfId="0" applyBorder="1" applyAlignment="1">
      <alignment horizontal="center" vertical="center" wrapText="1"/>
    </xf>
    <xf numFmtId="14" fontId="18" fillId="0" borderId="22" xfId="0" applyNumberFormat="1" applyFont="1" applyBorder="1" applyAlignment="1">
      <alignment horizontal="center" vertical="center"/>
    </xf>
    <xf numFmtId="0" fontId="18" fillId="0" borderId="27" xfId="0" applyFont="1" applyBorder="1" applyAlignment="1">
      <alignment horizontal="center" vertical="center"/>
    </xf>
    <xf numFmtId="164" fontId="18" fillId="0" borderId="22" xfId="0" applyNumberFormat="1" applyFont="1" applyBorder="1" applyAlignment="1">
      <alignment horizontal="right" vertical="center"/>
    </xf>
    <xf numFmtId="0" fontId="18" fillId="0" borderId="27" xfId="0" applyFont="1" applyBorder="1" applyAlignment="1">
      <alignment horizontal="right" vertical="center"/>
    </xf>
    <xf numFmtId="14" fontId="27" fillId="10" borderId="59" xfId="2" applyNumberFormat="1" applyFill="1" applyBorder="1" applyAlignment="1">
      <alignment horizontal="center"/>
    </xf>
    <xf numFmtId="14" fontId="27" fillId="10" borderId="70" xfId="2" applyNumberFormat="1" applyFill="1" applyBorder="1" applyAlignment="1">
      <alignment horizontal="center"/>
    </xf>
    <xf numFmtId="14" fontId="27" fillId="0" borderId="59" xfId="2" applyNumberFormat="1" applyBorder="1" applyAlignment="1">
      <alignment horizontal="center"/>
    </xf>
    <xf numFmtId="14" fontId="27" fillId="0" borderId="94" xfId="2" applyNumberFormat="1" applyBorder="1" applyAlignment="1">
      <alignment horizontal="center"/>
    </xf>
    <xf numFmtId="14" fontId="27" fillId="0" borderId="70" xfId="2" applyNumberFormat="1" applyBorder="1" applyAlignment="1">
      <alignment horizontal="center"/>
    </xf>
    <xf numFmtId="0" fontId="0" fillId="0" borderId="93" xfId="0" applyBorder="1" applyAlignment="1">
      <alignment horizontal="center" vertical="center"/>
    </xf>
    <xf numFmtId="0" fontId="0" fillId="0" borderId="71" xfId="0" applyBorder="1" applyAlignment="1">
      <alignment horizontal="center" vertical="center"/>
    </xf>
    <xf numFmtId="14" fontId="1" fillId="0" borderId="56" xfId="0" applyNumberFormat="1" applyFont="1" applyBorder="1" applyAlignment="1">
      <alignment horizontal="center" vertical="center"/>
    </xf>
    <xf numFmtId="164" fontId="1" fillId="0" borderId="23" xfId="0" applyNumberFormat="1" applyFont="1" applyBorder="1" applyAlignment="1">
      <alignment horizontal="center" vertical="center"/>
    </xf>
    <xf numFmtId="0" fontId="0" fillId="0" borderId="36" xfId="0" applyBorder="1" applyAlignment="1">
      <alignment horizontal="center" vertical="center"/>
    </xf>
    <xf numFmtId="164" fontId="18" fillId="0" borderId="22" xfId="0" applyNumberFormat="1" applyFont="1" applyBorder="1" applyAlignment="1">
      <alignment horizontal="center" vertical="center"/>
    </xf>
    <xf numFmtId="164" fontId="1" fillId="0" borderId="27" xfId="0" applyNumberFormat="1" applyFont="1" applyBorder="1" applyAlignment="1">
      <alignment horizontal="center"/>
    </xf>
    <xf numFmtId="164" fontId="27" fillId="0" borderId="22" xfId="2" applyNumberFormat="1" applyBorder="1" applyAlignment="1">
      <alignment horizontal="center" vertical="center"/>
    </xf>
    <xf numFmtId="164" fontId="27" fillId="0" borderId="27" xfId="2" applyNumberFormat="1" applyBorder="1" applyAlignment="1">
      <alignment horizontal="center" vertical="center"/>
    </xf>
    <xf numFmtId="0" fontId="4" fillId="2" borderId="41" xfId="0" applyFont="1" applyFill="1"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164" fontId="20" fillId="0" borderId="24" xfId="0" applyNumberFormat="1" applyFont="1" applyBorder="1" applyAlignment="1">
      <alignment horizontal="center" wrapText="1"/>
    </xf>
    <xf numFmtId="0" fontId="0" fillId="0" borderId="40" xfId="0" applyBorder="1" applyAlignment="1">
      <alignment horizontal="center" wrapText="1"/>
    </xf>
    <xf numFmtId="0" fontId="4" fillId="2" borderId="42" xfId="0" applyFont="1" applyFill="1" applyBorder="1" applyAlignment="1">
      <alignment horizontal="center"/>
    </xf>
    <xf numFmtId="0" fontId="4" fillId="2" borderId="43" xfId="0" applyFont="1" applyFill="1" applyBorder="1" applyAlignment="1">
      <alignment horizontal="center"/>
    </xf>
    <xf numFmtId="164" fontId="27" fillId="0" borderId="56" xfId="2" applyNumberFormat="1" applyBorder="1" applyAlignment="1">
      <alignment horizontal="center" vertical="center"/>
    </xf>
    <xf numFmtId="164" fontId="27" fillId="0" borderId="93" xfId="2" applyNumberForma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5" fillId="0" borderId="21" xfId="0" applyFont="1" applyBorder="1" applyAlignment="1">
      <alignment horizontal="center"/>
    </xf>
    <xf numFmtId="0" fontId="3" fillId="14" borderId="5" xfId="0" applyFont="1" applyFill="1" applyBorder="1" applyAlignment="1">
      <alignment horizontal="center"/>
    </xf>
    <xf numFmtId="0" fontId="0" fillId="14" borderId="6" xfId="0" applyFill="1" applyBorder="1" applyAlignment="1">
      <alignment horizontal="center"/>
    </xf>
    <xf numFmtId="164" fontId="1" fillId="0" borderId="0" xfId="0" applyNumberFormat="1" applyFont="1" applyAlignment="1">
      <alignment horizontal="center"/>
    </xf>
    <xf numFmtId="164" fontId="0" fillId="0" borderId="0" xfId="0" applyNumberFormat="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BDE0E9"/>
      <color rgb="FF9F2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717260</xdr:colOff>
      <xdr:row>40</xdr:row>
      <xdr:rowOff>59823</xdr:rowOff>
    </xdr:from>
    <xdr:ext cx="184730" cy="937629"/>
    <xdr:sp macro="" textlink="">
      <xdr:nvSpPr>
        <xdr:cNvPr id="2" name="Rectangle 1">
          <a:extLst>
            <a:ext uri="{FF2B5EF4-FFF2-40B4-BE49-F238E27FC236}">
              <a16:creationId xmlns:a16="http://schemas.microsoft.com/office/drawing/2014/main" id="{BC1359DC-9E40-49BD-9E81-7F069830F5B6}"/>
            </a:ext>
          </a:extLst>
        </xdr:cNvPr>
        <xdr:cNvSpPr/>
      </xdr:nvSpPr>
      <xdr:spPr>
        <a:xfrm>
          <a:off x="4876510" y="545598"/>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7</xdr:col>
      <xdr:colOff>717260</xdr:colOff>
      <xdr:row>3</xdr:row>
      <xdr:rowOff>59823</xdr:rowOff>
    </xdr:from>
    <xdr:ext cx="184730" cy="937629"/>
    <xdr:sp macro="" textlink="">
      <xdr:nvSpPr>
        <xdr:cNvPr id="4" name="Rectangle 3">
          <a:extLst>
            <a:ext uri="{FF2B5EF4-FFF2-40B4-BE49-F238E27FC236}">
              <a16:creationId xmlns:a16="http://schemas.microsoft.com/office/drawing/2014/main" id="{4B1860D6-9A15-4524-B7B4-719B71FC77DF}"/>
            </a:ext>
          </a:extLst>
        </xdr:cNvPr>
        <xdr:cNvSpPr/>
      </xdr:nvSpPr>
      <xdr:spPr>
        <a:xfrm>
          <a:off x="8886535" y="5431923"/>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1115231</xdr:colOff>
      <xdr:row>39</xdr:row>
      <xdr:rowOff>66675</xdr:rowOff>
    </xdr:from>
    <xdr:ext cx="184730" cy="937629"/>
    <xdr:sp macro="" textlink="">
      <xdr:nvSpPr>
        <xdr:cNvPr id="2" name="Rectangle 1">
          <a:extLst>
            <a:ext uri="{FF2B5EF4-FFF2-40B4-BE49-F238E27FC236}">
              <a16:creationId xmlns:a16="http://schemas.microsoft.com/office/drawing/2014/main" id="{975DAEE1-55CB-400A-9411-94B4AC4236F2}"/>
            </a:ext>
          </a:extLst>
        </xdr:cNvPr>
        <xdr:cNvSpPr/>
      </xdr:nvSpPr>
      <xdr:spPr>
        <a:xfrm>
          <a:off x="9659156" y="828675"/>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8</xdr:col>
      <xdr:colOff>1115231</xdr:colOff>
      <xdr:row>3</xdr:row>
      <xdr:rowOff>66675</xdr:rowOff>
    </xdr:from>
    <xdr:ext cx="184730" cy="937629"/>
    <xdr:sp macro="" textlink="">
      <xdr:nvSpPr>
        <xdr:cNvPr id="3" name="Rectangle 2">
          <a:extLst>
            <a:ext uri="{FF2B5EF4-FFF2-40B4-BE49-F238E27FC236}">
              <a16:creationId xmlns:a16="http://schemas.microsoft.com/office/drawing/2014/main" id="{8DD76B2B-05B6-4C80-BA0B-43BADEFFF21B}"/>
            </a:ext>
          </a:extLst>
        </xdr:cNvPr>
        <xdr:cNvSpPr/>
      </xdr:nvSpPr>
      <xdr:spPr>
        <a:xfrm>
          <a:off x="10065556" y="6473825"/>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219881</xdr:colOff>
      <xdr:row>38</xdr:row>
      <xdr:rowOff>123825</xdr:rowOff>
    </xdr:from>
    <xdr:ext cx="184730" cy="937629"/>
    <xdr:sp macro="" textlink="">
      <xdr:nvSpPr>
        <xdr:cNvPr id="3" name="Rectangle 2">
          <a:extLst>
            <a:ext uri="{FF2B5EF4-FFF2-40B4-BE49-F238E27FC236}">
              <a16:creationId xmlns:a16="http://schemas.microsoft.com/office/drawing/2014/main" id="{D8AC263C-6AD6-420D-BD43-DE085ADDC646}"/>
            </a:ext>
          </a:extLst>
        </xdr:cNvPr>
        <xdr:cNvSpPr/>
      </xdr:nvSpPr>
      <xdr:spPr>
        <a:xfrm>
          <a:off x="9268631" y="981075"/>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8</xdr:col>
      <xdr:colOff>219881</xdr:colOff>
      <xdr:row>4</xdr:row>
      <xdr:rowOff>123825</xdr:rowOff>
    </xdr:from>
    <xdr:ext cx="184730" cy="937629"/>
    <xdr:sp macro="" textlink="">
      <xdr:nvSpPr>
        <xdr:cNvPr id="2" name="Rectangle 1">
          <a:extLst>
            <a:ext uri="{FF2B5EF4-FFF2-40B4-BE49-F238E27FC236}">
              <a16:creationId xmlns:a16="http://schemas.microsoft.com/office/drawing/2014/main" id="{DB32389C-9FCC-4F55-ADBE-9180E95F6CCE}"/>
            </a:ext>
          </a:extLst>
        </xdr:cNvPr>
        <xdr:cNvSpPr/>
      </xdr:nvSpPr>
      <xdr:spPr>
        <a:xfrm>
          <a:off x="9694081" y="6302375"/>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943781</xdr:colOff>
      <xdr:row>31</xdr:row>
      <xdr:rowOff>209550</xdr:rowOff>
    </xdr:from>
    <xdr:ext cx="184730" cy="937629"/>
    <xdr:sp macro="" textlink="">
      <xdr:nvSpPr>
        <xdr:cNvPr id="2" name="Rectangle 1">
          <a:extLst>
            <a:ext uri="{FF2B5EF4-FFF2-40B4-BE49-F238E27FC236}">
              <a16:creationId xmlns:a16="http://schemas.microsoft.com/office/drawing/2014/main" id="{A4DA314F-7B0D-41EF-A5CA-BEEC1828A205}"/>
            </a:ext>
          </a:extLst>
        </xdr:cNvPr>
        <xdr:cNvSpPr/>
      </xdr:nvSpPr>
      <xdr:spPr>
        <a:xfrm>
          <a:off x="9068606" y="1066800"/>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8</xdr:col>
      <xdr:colOff>943781</xdr:colOff>
      <xdr:row>3</xdr:row>
      <xdr:rowOff>209550</xdr:rowOff>
    </xdr:from>
    <xdr:ext cx="184730" cy="937629"/>
    <xdr:sp macro="" textlink="">
      <xdr:nvSpPr>
        <xdr:cNvPr id="3" name="Rectangle 2">
          <a:extLst>
            <a:ext uri="{FF2B5EF4-FFF2-40B4-BE49-F238E27FC236}">
              <a16:creationId xmlns:a16="http://schemas.microsoft.com/office/drawing/2014/main" id="{4060ECD4-8941-4FCB-8892-8EE409E76B1D}"/>
            </a:ext>
          </a:extLst>
        </xdr:cNvPr>
        <xdr:cNvSpPr/>
      </xdr:nvSpPr>
      <xdr:spPr>
        <a:xfrm>
          <a:off x="9446431" y="5419725"/>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867581</xdr:colOff>
      <xdr:row>35</xdr:row>
      <xdr:rowOff>19050</xdr:rowOff>
    </xdr:from>
    <xdr:ext cx="184730" cy="937629"/>
    <xdr:sp macro="" textlink="">
      <xdr:nvSpPr>
        <xdr:cNvPr id="2" name="Rectangle 1">
          <a:extLst>
            <a:ext uri="{FF2B5EF4-FFF2-40B4-BE49-F238E27FC236}">
              <a16:creationId xmlns:a16="http://schemas.microsoft.com/office/drawing/2014/main" id="{CA71F681-0B5C-401B-9E00-1F1B1A6BEE9F}"/>
            </a:ext>
          </a:extLst>
        </xdr:cNvPr>
        <xdr:cNvSpPr/>
      </xdr:nvSpPr>
      <xdr:spPr>
        <a:xfrm>
          <a:off x="8258981" y="971550"/>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7</xdr:col>
      <xdr:colOff>867581</xdr:colOff>
      <xdr:row>4</xdr:row>
      <xdr:rowOff>19050</xdr:rowOff>
    </xdr:from>
    <xdr:ext cx="184730" cy="937629"/>
    <xdr:sp macro="" textlink="">
      <xdr:nvSpPr>
        <xdr:cNvPr id="3" name="Rectangle 2">
          <a:extLst>
            <a:ext uri="{FF2B5EF4-FFF2-40B4-BE49-F238E27FC236}">
              <a16:creationId xmlns:a16="http://schemas.microsoft.com/office/drawing/2014/main" id="{8239327B-1212-41F0-86C5-6D7FD11A3B9A}"/>
            </a:ext>
          </a:extLst>
        </xdr:cNvPr>
        <xdr:cNvSpPr/>
      </xdr:nvSpPr>
      <xdr:spPr>
        <a:xfrm>
          <a:off x="8598706" y="5810250"/>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806</xdr:colOff>
      <xdr:row>23</xdr:row>
      <xdr:rowOff>0</xdr:rowOff>
    </xdr:from>
    <xdr:ext cx="184730" cy="937629"/>
    <xdr:sp macro="" textlink="">
      <xdr:nvSpPr>
        <xdr:cNvPr id="2" name="Rectangle 1">
          <a:extLst>
            <a:ext uri="{FF2B5EF4-FFF2-40B4-BE49-F238E27FC236}">
              <a16:creationId xmlns:a16="http://schemas.microsoft.com/office/drawing/2014/main" id="{A39B907C-0040-47B3-A3DA-AACD1386C607}"/>
            </a:ext>
          </a:extLst>
        </xdr:cNvPr>
        <xdr:cNvSpPr/>
      </xdr:nvSpPr>
      <xdr:spPr>
        <a:xfrm>
          <a:off x="7403092" y="943429"/>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7</xdr:col>
      <xdr:colOff>806</xdr:colOff>
      <xdr:row>3</xdr:row>
      <xdr:rowOff>0</xdr:rowOff>
    </xdr:from>
    <xdr:ext cx="184730" cy="937629"/>
    <xdr:sp macro="" textlink="">
      <xdr:nvSpPr>
        <xdr:cNvPr id="3" name="Rectangle 2">
          <a:extLst>
            <a:ext uri="{FF2B5EF4-FFF2-40B4-BE49-F238E27FC236}">
              <a16:creationId xmlns:a16="http://schemas.microsoft.com/office/drawing/2014/main" id="{94D4EAF4-A549-4D83-9009-1306934DEFC8}"/>
            </a:ext>
          </a:extLst>
        </xdr:cNvPr>
        <xdr:cNvSpPr/>
      </xdr:nvSpPr>
      <xdr:spPr>
        <a:xfrm>
          <a:off x="7738735" y="4027714"/>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17</xdr:col>
      <xdr:colOff>172256</xdr:colOff>
      <xdr:row>39</xdr:row>
      <xdr:rowOff>57150</xdr:rowOff>
    </xdr:from>
    <xdr:ext cx="184730" cy="937629"/>
    <xdr:sp macro="" textlink="">
      <xdr:nvSpPr>
        <xdr:cNvPr id="2" name="Rectangle 1">
          <a:extLst>
            <a:ext uri="{FF2B5EF4-FFF2-40B4-BE49-F238E27FC236}">
              <a16:creationId xmlns:a16="http://schemas.microsoft.com/office/drawing/2014/main" id="{F39C0514-442E-4742-AD0D-9C5E64CDEF15}"/>
            </a:ext>
          </a:extLst>
        </xdr:cNvPr>
        <xdr:cNvSpPr/>
      </xdr:nvSpPr>
      <xdr:spPr>
        <a:xfrm>
          <a:off x="13735856" y="819150"/>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17</xdr:col>
      <xdr:colOff>172256</xdr:colOff>
      <xdr:row>4</xdr:row>
      <xdr:rowOff>57150</xdr:rowOff>
    </xdr:from>
    <xdr:ext cx="184730" cy="937629"/>
    <xdr:sp macro="" textlink="">
      <xdr:nvSpPr>
        <xdr:cNvPr id="3" name="Rectangle 2">
          <a:extLst>
            <a:ext uri="{FF2B5EF4-FFF2-40B4-BE49-F238E27FC236}">
              <a16:creationId xmlns:a16="http://schemas.microsoft.com/office/drawing/2014/main" id="{9C907255-5BE6-4093-A5A8-DC39FFF36CC9}"/>
            </a:ext>
          </a:extLst>
        </xdr:cNvPr>
        <xdr:cNvSpPr/>
      </xdr:nvSpPr>
      <xdr:spPr>
        <a:xfrm>
          <a:off x="14412131" y="6467475"/>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KNOLL Ellie * PUC" id="{C14471D3-E4D6-44E0-8C3C-5F4975FD1DE3}" userId="S::ellie.knoll@puc.oregon.gov::e90e8ef6-3307-4dde-9394-6a1c6643f2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3" dT="2025-03-24T21:32:52.13" personId="{C14471D3-E4D6-44E0-8C3C-5F4975FD1DE3}" id="{FCCC44E9-E7CF-4517-8D45-E255CEBFEF88}">
    <text xml:space="preserve">um2345huc335464115.pdf  Funding Update from CRITFC
</text>
    <extLst>
      <x:ext xmlns:xltc2="http://schemas.microsoft.com/office/spreadsheetml/2020/threadedcomments2" uri="{F7C98A9C-CBB3-438F-8F68-D28B6AF4A901}">
        <xltc2:checksum>3112295760</xltc2:checksum>
        <xltc2:hyperlink startIndex="0" length="22" url="https://edocs.puc.state.or.us/efdocs/HUC/um2345huc335464115.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docs.puc.state.or.us/efdocs/HUD/um1586hud332858033.pdf" TargetMode="External"/><Relationship Id="rId1" Type="http://schemas.openxmlformats.org/officeDocument/2006/relationships/hyperlink" Target="https://apps.puc.state.or.us/orders/2024ords/24-357.pdf"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8" Type="http://schemas.openxmlformats.org/officeDocument/2006/relationships/hyperlink" Target="https://apps.puc.state.or.us/orders/2025ords/25-310.pdf" TargetMode="External"/><Relationship Id="rId13" Type="http://schemas.microsoft.com/office/2017/10/relationships/threadedComment" Target="../threadedComments/threadedComment1.xml"/><Relationship Id="rId3" Type="http://schemas.openxmlformats.org/officeDocument/2006/relationships/hyperlink" Target="https://apps.puc.state.or.us/orders/2024ords/24-424.pdf" TargetMode="External"/><Relationship Id="rId7" Type="http://schemas.openxmlformats.org/officeDocument/2006/relationships/hyperlink" Target="https://apps.puc.state.or.us/orders/2025ords/25-158.pdf" TargetMode="External"/><Relationship Id="rId12" Type="http://schemas.openxmlformats.org/officeDocument/2006/relationships/comments" Target="../comments8.xml"/><Relationship Id="rId2" Type="http://schemas.openxmlformats.org/officeDocument/2006/relationships/hyperlink" Target="https://apps.puc.state.or.us/orders/2024ords/24-424.pdf" TargetMode="External"/><Relationship Id="rId1" Type="http://schemas.openxmlformats.org/officeDocument/2006/relationships/hyperlink" Target="https://apps.puc.state.or.us/orders/2024ords/24-358.pdf" TargetMode="External"/><Relationship Id="rId6" Type="http://schemas.openxmlformats.org/officeDocument/2006/relationships/hyperlink" Target="https://apps.puc.state.or.us/orders/2025ords/25-158.pdf" TargetMode="External"/><Relationship Id="rId11" Type="http://schemas.openxmlformats.org/officeDocument/2006/relationships/vmlDrawing" Target="../drawings/vmlDrawing8.vml"/><Relationship Id="rId5" Type="http://schemas.openxmlformats.org/officeDocument/2006/relationships/hyperlink" Target="https://apps.puc.state.or.us/orders/2025ords/25-007.pdf" TargetMode="External"/><Relationship Id="rId10" Type="http://schemas.openxmlformats.org/officeDocument/2006/relationships/drawing" Target="../drawings/drawing7.xml"/><Relationship Id="rId4" Type="http://schemas.openxmlformats.org/officeDocument/2006/relationships/hyperlink" Target="https://apps.puc.state.or.us/orders/2024ords/24-424.pdf"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pps.puc.state.or.us/orders/2025ords/25-221.pdf" TargetMode="External"/><Relationship Id="rId13" Type="http://schemas.openxmlformats.org/officeDocument/2006/relationships/hyperlink" Target="https://apps.puc.state.or.us/orders/2025ords/25-358.pdf" TargetMode="External"/><Relationship Id="rId18" Type="http://schemas.openxmlformats.org/officeDocument/2006/relationships/comments" Target="../comments1.xml"/><Relationship Id="rId3" Type="http://schemas.openxmlformats.org/officeDocument/2006/relationships/hyperlink" Target="https://apps.puc.state.or.us/orders/2025ords/25-019.pdf" TargetMode="External"/><Relationship Id="rId7" Type="http://schemas.openxmlformats.org/officeDocument/2006/relationships/hyperlink" Target="http://apps.puc.state.or.us/edockets/orders.asp?ordernumber=25-162" TargetMode="External"/><Relationship Id="rId12" Type="http://schemas.openxmlformats.org/officeDocument/2006/relationships/hyperlink" Target="http://apps.puc.state.or.us/edockets/orders.asp?ordernumber=25-303" TargetMode="External"/><Relationship Id="rId17" Type="http://schemas.openxmlformats.org/officeDocument/2006/relationships/vmlDrawing" Target="../drawings/vmlDrawing1.vml"/><Relationship Id="rId2" Type="http://schemas.openxmlformats.org/officeDocument/2006/relationships/hyperlink" Target="https://apps.puc.state.or.us/orders/2024ords/24-422.pdf" TargetMode="External"/><Relationship Id="rId16" Type="http://schemas.openxmlformats.org/officeDocument/2006/relationships/drawing" Target="../drawings/drawing1.xml"/><Relationship Id="rId1" Type="http://schemas.openxmlformats.org/officeDocument/2006/relationships/hyperlink" Target="https://apps.puc.state.or.us/orders/2024ords/24-423.pdf" TargetMode="External"/><Relationship Id="rId6" Type="http://schemas.openxmlformats.org/officeDocument/2006/relationships/hyperlink" Target="https://apps.puc.state.or.us/orders/2025ords/25-157.pdf" TargetMode="External"/><Relationship Id="rId11" Type="http://schemas.openxmlformats.org/officeDocument/2006/relationships/hyperlink" Target="http://apps.puc.state.or.us/edockets/orders.asp?ordernumber=25-303" TargetMode="External"/><Relationship Id="rId5" Type="http://schemas.openxmlformats.org/officeDocument/2006/relationships/hyperlink" Target="https://apps.puc.state.or.us/orders/2025ords/25-159.pdf" TargetMode="External"/><Relationship Id="rId15" Type="http://schemas.openxmlformats.org/officeDocument/2006/relationships/printerSettings" Target="../printerSettings/printerSettings3.bin"/><Relationship Id="rId10" Type="http://schemas.openxmlformats.org/officeDocument/2006/relationships/hyperlink" Target="http://apps.puc.state.or.us/edockets/orders.asp?ordernumber=25-303" TargetMode="External"/><Relationship Id="rId4" Type="http://schemas.openxmlformats.org/officeDocument/2006/relationships/hyperlink" Target="https://apps.puc.state.or.us/orders/2025ords/25-133.pdf" TargetMode="External"/><Relationship Id="rId9" Type="http://schemas.openxmlformats.org/officeDocument/2006/relationships/hyperlink" Target="https://apps.puc.state.or.us/orders/2025ords/25-253.pdf" TargetMode="External"/><Relationship Id="rId14" Type="http://schemas.openxmlformats.org/officeDocument/2006/relationships/hyperlink" Target="http://apps.puc.state.or.us/edockets/orders.asp?ordernumber=25-36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apps.puc.state.or.us/orders/2025ords/25-133.pdf" TargetMode="External"/><Relationship Id="rId13" Type="http://schemas.openxmlformats.org/officeDocument/2006/relationships/hyperlink" Target="https://apps.puc.state.or.us/orders/2025ords/25-252.pdf/" TargetMode="External"/><Relationship Id="rId18" Type="http://schemas.openxmlformats.org/officeDocument/2006/relationships/drawing" Target="../drawings/drawing2.xml"/><Relationship Id="rId3" Type="http://schemas.openxmlformats.org/officeDocument/2006/relationships/hyperlink" Target="https://apps.puc.state.or.us/orders/2024ords/24-345.pdf" TargetMode="External"/><Relationship Id="rId7" Type="http://schemas.openxmlformats.org/officeDocument/2006/relationships/hyperlink" Target="https://apps.puc.state.or.us/orders/2025ords/25-019.pdf" TargetMode="External"/><Relationship Id="rId12" Type="http://schemas.openxmlformats.org/officeDocument/2006/relationships/hyperlink" Target="https://apps.puc.state.or.us/orders/2025ords/25-251.pdf" TargetMode="External"/><Relationship Id="rId17" Type="http://schemas.openxmlformats.org/officeDocument/2006/relationships/printerSettings" Target="../printerSettings/printerSettings4.bin"/><Relationship Id="rId2" Type="http://schemas.openxmlformats.org/officeDocument/2006/relationships/hyperlink" Target="https://apps.puc.state.or.us/orders/2024ords/24-341.pdf" TargetMode="External"/><Relationship Id="rId16" Type="http://schemas.openxmlformats.org/officeDocument/2006/relationships/hyperlink" Target="http://apps.puc.state.or.us/edockets/orders.asp?ordernumber=25-360" TargetMode="External"/><Relationship Id="rId20" Type="http://schemas.openxmlformats.org/officeDocument/2006/relationships/comments" Target="../comments2.xml"/><Relationship Id="rId1" Type="http://schemas.openxmlformats.org/officeDocument/2006/relationships/hyperlink" Target="https://apps.puc.state.or.us/orders/2024ords/24-124.pdf" TargetMode="External"/><Relationship Id="rId6" Type="http://schemas.openxmlformats.org/officeDocument/2006/relationships/hyperlink" Target="https://apps.puc.state.or.us/orders/2024ords/24-463.pdf" TargetMode="External"/><Relationship Id="rId11" Type="http://schemas.openxmlformats.org/officeDocument/2006/relationships/hyperlink" Target="https://apps.puc.state.or.us/orders/2025ords/25-156.pdf" TargetMode="External"/><Relationship Id="rId5" Type="http://schemas.openxmlformats.org/officeDocument/2006/relationships/hyperlink" Target="https://apps.puc.state.or.us/orders/2024ords/24-460.pdf" TargetMode="External"/><Relationship Id="rId15" Type="http://schemas.openxmlformats.org/officeDocument/2006/relationships/hyperlink" Target="https://apps.puc.state.or.us/orders/2025ords/25-340.pdf" TargetMode="External"/><Relationship Id="rId10" Type="http://schemas.openxmlformats.org/officeDocument/2006/relationships/hyperlink" Target="https://apps.puc.state.or.us/orders/2025ords/25-159.pdf" TargetMode="External"/><Relationship Id="rId19" Type="http://schemas.openxmlformats.org/officeDocument/2006/relationships/vmlDrawing" Target="../drawings/vmlDrawing2.vml"/><Relationship Id="rId4" Type="http://schemas.openxmlformats.org/officeDocument/2006/relationships/hyperlink" Target="https://apps.puc.state.or.us/orders/2024ords/24-346.pdf" TargetMode="External"/><Relationship Id="rId9" Type="http://schemas.openxmlformats.org/officeDocument/2006/relationships/hyperlink" Target="https://apps.puc.state.or.us/orders/2025ords/25-155.pdf" TargetMode="External"/><Relationship Id="rId14" Type="http://schemas.openxmlformats.org/officeDocument/2006/relationships/hyperlink" Target="https://apps.puc.state.or.us/orders/2025ords/25-322.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pps.puc.state.or.us/orders/2025ords/25-134.pdf" TargetMode="External"/><Relationship Id="rId3" Type="http://schemas.openxmlformats.org/officeDocument/2006/relationships/hyperlink" Target="https://apps.puc.state.or.us/orders/2024ords/24-349.pdf" TargetMode="External"/><Relationship Id="rId7" Type="http://schemas.openxmlformats.org/officeDocument/2006/relationships/hyperlink" Target="https://apps.puc.state.or.us/orders/2025ords/25-076.pdf" TargetMode="External"/><Relationship Id="rId12" Type="http://schemas.openxmlformats.org/officeDocument/2006/relationships/comments" Target="../comments3.xml"/><Relationship Id="rId2" Type="http://schemas.openxmlformats.org/officeDocument/2006/relationships/hyperlink" Target="https://apps.puc.state.or.us/orders/2024ords/24-343.pdf" TargetMode="External"/><Relationship Id="rId1" Type="http://schemas.openxmlformats.org/officeDocument/2006/relationships/hyperlink" Target="https://apps.puc.state.or.us/orders/2024ords/24-342.pdf" TargetMode="External"/><Relationship Id="rId6" Type="http://schemas.openxmlformats.org/officeDocument/2006/relationships/hyperlink" Target="https://apps.puc.state.or.us/orders/2025ords/25-077.pdf" TargetMode="External"/><Relationship Id="rId11" Type="http://schemas.openxmlformats.org/officeDocument/2006/relationships/vmlDrawing" Target="../drawings/vmlDrawing3.vml"/><Relationship Id="rId5" Type="http://schemas.openxmlformats.org/officeDocument/2006/relationships/hyperlink" Target="https://apps.puc.state.or.us/orders/2025ords/25-113.pdf" TargetMode="External"/><Relationship Id="rId10" Type="http://schemas.openxmlformats.org/officeDocument/2006/relationships/drawing" Target="../drawings/drawing3.xml"/><Relationship Id="rId4" Type="http://schemas.openxmlformats.org/officeDocument/2006/relationships/hyperlink" Target="https://apps.puc.state.or.us/orders/2025ords/25-019.pdf"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apps.puc.state.or.us/orders/2025ords/25-019.pdf" TargetMode="External"/><Relationship Id="rId7" Type="http://schemas.openxmlformats.org/officeDocument/2006/relationships/vmlDrawing" Target="../drawings/vmlDrawing4.vml"/><Relationship Id="rId2" Type="http://schemas.openxmlformats.org/officeDocument/2006/relationships/hyperlink" Target="https://apps.puc.state.or.us/orders/2024ords/24-461.pdf" TargetMode="External"/><Relationship Id="rId1" Type="http://schemas.openxmlformats.org/officeDocument/2006/relationships/hyperlink" Target="https://apps.puc.state.or.us/orders/2024ords/24-349.pdf"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apps.puc.state.or.us/orders/2025ords/25-134.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apps.puc.state.or.us/orders/2025ords/25-219.pdf" TargetMode="External"/><Relationship Id="rId3" Type="http://schemas.openxmlformats.org/officeDocument/2006/relationships/hyperlink" Target="https://apps.puc.state.or.us/orders/2024ords/24-464.pdf" TargetMode="External"/><Relationship Id="rId7" Type="http://schemas.openxmlformats.org/officeDocument/2006/relationships/hyperlink" Target="https://apps.puc.state.or.us/orders/2025ords/25-220.pdf" TargetMode="External"/><Relationship Id="rId12" Type="http://schemas.openxmlformats.org/officeDocument/2006/relationships/comments" Target="../comments5.xml"/><Relationship Id="rId2" Type="http://schemas.openxmlformats.org/officeDocument/2006/relationships/hyperlink" Target="https://apps.puc.state.or.us/orders/2024ords/24-459.pdf" TargetMode="External"/><Relationship Id="rId1" Type="http://schemas.openxmlformats.org/officeDocument/2006/relationships/hyperlink" Target="https://apps.puc.state.or.us/orders/2024ords/24-349.pdf" TargetMode="External"/><Relationship Id="rId6" Type="http://schemas.openxmlformats.org/officeDocument/2006/relationships/hyperlink" Target="https://apps.puc.state.or.us/orders/2024ords/24-465.pdf" TargetMode="External"/><Relationship Id="rId11" Type="http://schemas.openxmlformats.org/officeDocument/2006/relationships/vmlDrawing" Target="../drawings/vmlDrawing5.vml"/><Relationship Id="rId5" Type="http://schemas.openxmlformats.org/officeDocument/2006/relationships/hyperlink" Target="https://apps.puc.state.or.us/orders/2025ords/25-134.pdf" TargetMode="External"/><Relationship Id="rId10" Type="http://schemas.openxmlformats.org/officeDocument/2006/relationships/drawing" Target="../drawings/drawing5.xml"/><Relationship Id="rId4" Type="http://schemas.openxmlformats.org/officeDocument/2006/relationships/hyperlink" Target="https://apps.puc.state.or.us/orders/2025ords/25-019.pdf"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pps.puc.state.or.us/orders/2025ords/25-020.pdf" TargetMode="External"/><Relationship Id="rId1" Type="http://schemas.openxmlformats.org/officeDocument/2006/relationships/hyperlink" Target="https://apps.puc.state.or.us/orders/2024ords/24-462.pdf"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zoomScaleNormal="100" workbookViewId="0">
      <selection activeCell="I17" sqref="I17"/>
    </sheetView>
  </sheetViews>
  <sheetFormatPr defaultRowHeight="12.75" x14ac:dyDescent="0.2"/>
  <cols>
    <col min="1" max="1" width="11.85546875" bestFit="1" customWidth="1"/>
    <col min="2" max="3" width="10.7109375" bestFit="1" customWidth="1"/>
    <col min="4" max="4" width="11.7109375" bestFit="1" customWidth="1"/>
    <col min="5" max="5" width="10.7109375" bestFit="1" customWidth="1"/>
    <col min="6" max="6" width="10.5703125" bestFit="1" customWidth="1"/>
    <col min="7" max="7" width="11.5703125" bestFit="1" customWidth="1"/>
    <col min="8" max="8" width="10.5703125" bestFit="1" customWidth="1"/>
    <col min="9" max="9" width="11.85546875" customWidth="1"/>
    <col min="10" max="10" width="12.85546875" customWidth="1"/>
    <col min="11" max="11" width="11.85546875" bestFit="1" customWidth="1"/>
    <col min="12" max="14" width="9.42578125" bestFit="1" customWidth="1"/>
    <col min="15" max="16" width="9.28515625" bestFit="1" customWidth="1"/>
  </cols>
  <sheetData>
    <row r="1" spans="1:17" ht="25.5" customHeight="1" x14ac:dyDescent="0.2">
      <c r="A1" s="530" t="s">
        <v>62</v>
      </c>
      <c r="B1" s="530"/>
      <c r="C1" s="530"/>
      <c r="D1" s="530"/>
      <c r="E1" s="530"/>
      <c r="F1" s="530"/>
      <c r="G1" s="530"/>
      <c r="H1" s="530"/>
      <c r="I1" s="530"/>
      <c r="J1" s="530"/>
      <c r="K1" s="46"/>
      <c r="L1" s="530" t="s">
        <v>62</v>
      </c>
      <c r="M1" s="530"/>
      <c r="N1" s="530"/>
      <c r="O1" s="530"/>
      <c r="P1" s="530"/>
      <c r="Q1" s="530"/>
    </row>
    <row r="2" spans="1:17" ht="24.6" customHeight="1" x14ac:dyDescent="0.2">
      <c r="B2" s="529" t="s">
        <v>52</v>
      </c>
      <c r="C2" s="529"/>
      <c r="D2" s="529"/>
      <c r="E2" s="529" t="s">
        <v>53</v>
      </c>
      <c r="F2" s="529"/>
      <c r="G2" s="529"/>
      <c r="H2" s="529" t="s">
        <v>14</v>
      </c>
      <c r="I2" s="529"/>
      <c r="J2" s="529"/>
      <c r="L2" s="529" t="s">
        <v>55</v>
      </c>
      <c r="M2" s="529"/>
      <c r="N2" s="529"/>
      <c r="O2" s="529" t="s">
        <v>56</v>
      </c>
      <c r="P2" s="529"/>
      <c r="Q2" s="529"/>
    </row>
    <row r="3" spans="1:17" ht="24.6" customHeight="1" x14ac:dyDescent="0.2">
      <c r="B3" t="s">
        <v>10</v>
      </c>
      <c r="C3" t="s">
        <v>44</v>
      </c>
      <c r="D3" t="s">
        <v>42</v>
      </c>
      <c r="E3" t="s">
        <v>10</v>
      </c>
      <c r="F3" t="s">
        <v>54</v>
      </c>
      <c r="G3" t="s">
        <v>42</v>
      </c>
      <c r="H3" t="s">
        <v>10</v>
      </c>
      <c r="I3" t="s">
        <v>54</v>
      </c>
      <c r="J3" t="s">
        <v>42</v>
      </c>
      <c r="L3" t="s">
        <v>10</v>
      </c>
      <c r="M3" t="s">
        <v>54</v>
      </c>
      <c r="N3" t="s">
        <v>42</v>
      </c>
      <c r="O3" t="s">
        <v>10</v>
      </c>
      <c r="P3" t="s">
        <v>54</v>
      </c>
      <c r="Q3" t="s">
        <v>42</v>
      </c>
    </row>
    <row r="4" spans="1:17" ht="24.6" customHeight="1" x14ac:dyDescent="0.2">
      <c r="A4" t="s">
        <v>58</v>
      </c>
      <c r="B4" s="45" t="e">
        <f>#REF!</f>
        <v>#REF!</v>
      </c>
      <c r="C4" s="45" t="e">
        <f>#REF!</f>
        <v>#REF!</v>
      </c>
      <c r="D4" s="45" t="e">
        <f>#REF!</f>
        <v>#REF!</v>
      </c>
      <c r="E4" s="45" t="e">
        <f>PACIFIC!#REF!</f>
        <v>#REF!</v>
      </c>
      <c r="F4" s="45" t="e">
        <f>PACIFIC!#REF!</f>
        <v>#REF!</v>
      </c>
      <c r="G4" s="45" t="e">
        <f>PACIFIC!#REF!</f>
        <v>#REF!</v>
      </c>
      <c r="H4" s="45" t="e">
        <f>NWN!#REF!</f>
        <v>#REF!</v>
      </c>
      <c r="I4" s="45" t="e">
        <f>NWN!#REF!</f>
        <v>#REF!</v>
      </c>
      <c r="J4" s="45" t="e">
        <f>NWN!#REF!</f>
        <v>#REF!</v>
      </c>
      <c r="K4" t="s">
        <v>58</v>
      </c>
      <c r="L4" s="45" t="e">
        <f>CASCADE!#REF!</f>
        <v>#REF!</v>
      </c>
      <c r="M4" s="45" t="e">
        <f>CASCADE!#REF!</f>
        <v>#REF!</v>
      </c>
      <c r="N4" s="45" t="e">
        <f>CASCADE!#REF!</f>
        <v>#REF!</v>
      </c>
      <c r="O4" s="45" t="e">
        <f>AVISTA!#REF!</f>
        <v>#REF!</v>
      </c>
      <c r="P4" s="45" t="e">
        <f>AVISTA!#REF!</f>
        <v>#REF!</v>
      </c>
      <c r="Q4" s="45" t="e">
        <f>AVISTA!#REF!</f>
        <v>#REF!</v>
      </c>
    </row>
    <row r="5" spans="1:17" ht="24.6" customHeight="1" x14ac:dyDescent="0.2">
      <c r="A5" t="s">
        <v>57</v>
      </c>
      <c r="B5" s="45" t="e">
        <f>#REF!</f>
        <v>#REF!</v>
      </c>
      <c r="C5" s="45" t="e">
        <f>#REF!</f>
        <v>#REF!</v>
      </c>
      <c r="D5" s="45" t="e">
        <f>#REF!</f>
        <v>#REF!</v>
      </c>
      <c r="E5" s="45" t="e">
        <f>PACIFIC!#REF!</f>
        <v>#REF!</v>
      </c>
      <c r="F5" s="45" t="e">
        <f>PACIFIC!#REF!</f>
        <v>#REF!</v>
      </c>
      <c r="G5" s="45" t="e">
        <f>PACIFIC!#REF!</f>
        <v>#REF!</v>
      </c>
      <c r="H5" s="45" t="e">
        <f>NWN!#REF!</f>
        <v>#REF!</v>
      </c>
      <c r="I5" s="45" t="e">
        <f>NWN!#REF!</f>
        <v>#REF!</v>
      </c>
      <c r="J5" s="45" t="e">
        <f>NWN!#REF!</f>
        <v>#REF!</v>
      </c>
      <c r="K5" t="s">
        <v>57</v>
      </c>
      <c r="L5" s="45" t="e">
        <f>CASCADE!#REF!</f>
        <v>#REF!</v>
      </c>
      <c r="M5" s="45" t="e">
        <f>CASCADE!#REF!</f>
        <v>#REF!</v>
      </c>
      <c r="N5" s="45" t="e">
        <f>CASCADE!#REF!</f>
        <v>#REF!</v>
      </c>
      <c r="O5" s="45" t="e">
        <f>AVISTA!#REF!</f>
        <v>#REF!</v>
      </c>
      <c r="P5" s="45" t="e">
        <f>AVISTA!#REF!</f>
        <v>#REF!</v>
      </c>
      <c r="Q5" s="45" t="e">
        <f>AVISTA!#REF!</f>
        <v>#REF!</v>
      </c>
    </row>
    <row r="6" spans="1:17" ht="24.6" customHeight="1" x14ac:dyDescent="0.2">
      <c r="A6" s="48" t="s">
        <v>59</v>
      </c>
      <c r="B6" s="45" t="e">
        <f t="shared" ref="B6:Q6" si="0">SUM(B4:B5)</f>
        <v>#REF!</v>
      </c>
      <c r="C6" s="45" t="e">
        <f t="shared" si="0"/>
        <v>#REF!</v>
      </c>
      <c r="D6" s="45" t="e">
        <f t="shared" si="0"/>
        <v>#REF!</v>
      </c>
      <c r="E6" s="45" t="e">
        <f t="shared" si="0"/>
        <v>#REF!</v>
      </c>
      <c r="F6" s="45" t="e">
        <f t="shared" si="0"/>
        <v>#REF!</v>
      </c>
      <c r="G6" s="45" t="e">
        <f t="shared" si="0"/>
        <v>#REF!</v>
      </c>
      <c r="H6" s="45" t="e">
        <f t="shared" si="0"/>
        <v>#REF!</v>
      </c>
      <c r="I6" s="45" t="e">
        <f t="shared" si="0"/>
        <v>#REF!</v>
      </c>
      <c r="J6" s="45" t="e">
        <f t="shared" si="0"/>
        <v>#REF!</v>
      </c>
      <c r="K6" s="48" t="s">
        <v>59</v>
      </c>
      <c r="L6" s="45" t="e">
        <f t="shared" si="0"/>
        <v>#REF!</v>
      </c>
      <c r="M6" s="45" t="e">
        <f t="shared" si="0"/>
        <v>#REF!</v>
      </c>
      <c r="N6" s="45" t="e">
        <f>SUM(N4:N5)</f>
        <v>#REF!</v>
      </c>
      <c r="O6" s="45" t="e">
        <f t="shared" si="0"/>
        <v>#REF!</v>
      </c>
      <c r="P6" s="45" t="e">
        <f t="shared" si="0"/>
        <v>#REF!</v>
      </c>
      <c r="Q6" s="45" t="e">
        <f t="shared" si="0"/>
        <v>#REF!</v>
      </c>
    </row>
    <row r="7" spans="1:17" ht="24.6" customHeight="1" x14ac:dyDescent="0.2">
      <c r="A7" t="s">
        <v>65</v>
      </c>
      <c r="B7" s="45" t="e">
        <f>#REF!</f>
        <v>#REF!</v>
      </c>
      <c r="C7" s="45" t="e">
        <f>#REF!</f>
        <v>#REF!</v>
      </c>
      <c r="D7" s="45" t="e">
        <f>#REF!</f>
        <v>#REF!</v>
      </c>
      <c r="E7" s="45" t="e">
        <f>PACIFIC!#REF!</f>
        <v>#REF!</v>
      </c>
      <c r="F7" s="45" t="e">
        <f>PACIFIC!#REF!</f>
        <v>#REF!</v>
      </c>
      <c r="G7" s="45" t="e">
        <f>PACIFIC!#REF!</f>
        <v>#REF!</v>
      </c>
      <c r="H7" s="45" t="e">
        <f>NWN!#REF!</f>
        <v>#REF!</v>
      </c>
      <c r="I7" s="45" t="e">
        <f>NWN!#REF!</f>
        <v>#REF!</v>
      </c>
      <c r="J7" s="45" t="e">
        <f>NWN!#REF!</f>
        <v>#REF!</v>
      </c>
      <c r="K7" t="s">
        <v>65</v>
      </c>
      <c r="L7" s="45" t="e">
        <f>CASCADE!#REF!</f>
        <v>#REF!</v>
      </c>
      <c r="M7" s="45" t="e">
        <f>CASCADE!#REF!</f>
        <v>#REF!</v>
      </c>
      <c r="N7" s="45" t="e">
        <f>CASCADE!#REF!</f>
        <v>#REF!</v>
      </c>
      <c r="O7" s="45" t="e">
        <f>AVISTA!#REF!</f>
        <v>#REF!</v>
      </c>
      <c r="P7" s="45" t="e">
        <f>AVISTA!#REF!</f>
        <v>#REF!</v>
      </c>
      <c r="Q7" s="45" t="e">
        <f>AVISTA!#REF!</f>
        <v>#REF!</v>
      </c>
    </row>
    <row r="8" spans="1:17" ht="24.6" customHeight="1" x14ac:dyDescent="0.2">
      <c r="A8" s="48" t="s">
        <v>61</v>
      </c>
      <c r="B8" s="45" t="e">
        <f>#REF!</f>
        <v>#REF!</v>
      </c>
      <c r="C8" s="45" t="e">
        <f>#REF!</f>
        <v>#REF!</v>
      </c>
      <c r="D8" s="45" t="e">
        <f>SUM(#REF!+(#REF!-#REF!))</f>
        <v>#REF!</v>
      </c>
      <c r="E8" s="45" t="e">
        <f>PACIFIC!#REF!</f>
        <v>#REF!</v>
      </c>
      <c r="F8" s="45" t="e">
        <f>PACIFIC!#REF!</f>
        <v>#REF!</v>
      </c>
      <c r="G8" s="45" t="e">
        <f>SUM(PACIFIC!#REF!+(PACIFIC!#REF!-PACIFIC!#REF!))</f>
        <v>#REF!</v>
      </c>
      <c r="H8" s="45" t="e">
        <f>NWN!#REF!</f>
        <v>#REF!</v>
      </c>
      <c r="I8" s="45" t="e">
        <f>NWN!#REF!</f>
        <v>#REF!</v>
      </c>
      <c r="J8" s="45" t="e">
        <f>SUM(NWN!#REF!+(NWN!#REF!-NWN!#REF!))</f>
        <v>#REF!</v>
      </c>
      <c r="K8" s="48" t="s">
        <v>61</v>
      </c>
      <c r="L8" s="45" t="e">
        <f>CASCADE!#REF!</f>
        <v>#REF!</v>
      </c>
      <c r="M8" s="45" t="e">
        <f>CASCADE!#REF!</f>
        <v>#REF!</v>
      </c>
      <c r="N8" s="45" t="e">
        <f>SUM(CASCADE!#REF!+(CASCADE!#REF!-CASCADE!#REF!))</f>
        <v>#REF!</v>
      </c>
      <c r="O8" s="45" t="e">
        <f>AVISTA!#REF!</f>
        <v>#REF!</v>
      </c>
      <c r="P8" s="45" t="e">
        <f>AVISTA!#REF!</f>
        <v>#REF!</v>
      </c>
      <c r="Q8" s="45" t="e">
        <f>SUM(AVISTA!#REF!+(AVISTA!#REF!-AVISTA!#REF!))</f>
        <v>#REF!</v>
      </c>
    </row>
    <row r="9" spans="1:17" ht="36.75" customHeight="1" x14ac:dyDescent="0.2">
      <c r="A9" s="48" t="s">
        <v>60</v>
      </c>
      <c r="B9" s="45" t="e">
        <f>#REF!</f>
        <v>#REF!</v>
      </c>
      <c r="C9" s="45" t="e">
        <f>#REF!</f>
        <v>#REF!</v>
      </c>
      <c r="D9" s="45" t="e">
        <f>#REF!</f>
        <v>#REF!</v>
      </c>
      <c r="E9" s="45" t="e">
        <f>PACIFIC!#REF!</f>
        <v>#REF!</v>
      </c>
      <c r="F9" s="45" t="e">
        <f>PACIFIC!#REF!</f>
        <v>#REF!</v>
      </c>
      <c r="G9" s="45" t="e">
        <f>PACIFIC!#REF!</f>
        <v>#REF!</v>
      </c>
      <c r="H9" s="45" t="e">
        <f>NWN!#REF!</f>
        <v>#REF!</v>
      </c>
      <c r="I9" s="45" t="e">
        <f>NWN!#REF!</f>
        <v>#REF!</v>
      </c>
      <c r="J9" s="45" t="e">
        <f>NWN!#REF!</f>
        <v>#REF!</v>
      </c>
      <c r="K9" s="48" t="s">
        <v>60</v>
      </c>
      <c r="L9" s="45" t="e">
        <f>CASCADE!#REF!</f>
        <v>#REF!</v>
      </c>
      <c r="M9" s="45" t="e">
        <f>CASCADE!#REF!</f>
        <v>#REF!</v>
      </c>
      <c r="N9" s="45" t="e">
        <f>CASCADE!#REF!</f>
        <v>#REF!</v>
      </c>
      <c r="O9" s="45" t="e">
        <f>AVISTA!#REF!</f>
        <v>#REF!</v>
      </c>
      <c r="P9" s="45" t="e">
        <f>AVISTA!#REF!</f>
        <v>#REF!</v>
      </c>
      <c r="Q9" s="45" t="e">
        <f>AVISTA!#REF!</f>
        <v>#REF!</v>
      </c>
    </row>
    <row r="11" spans="1:17" x14ac:dyDescent="0.2">
      <c r="D11" s="45"/>
      <c r="G11" s="45"/>
      <c r="J11" s="45"/>
    </row>
    <row r="12" spans="1:17" x14ac:dyDescent="0.2">
      <c r="D12" s="45"/>
      <c r="G12" s="45"/>
    </row>
  </sheetData>
  <mergeCells count="7">
    <mergeCell ref="O2:Q2"/>
    <mergeCell ref="A1:J1"/>
    <mergeCell ref="L1:Q1"/>
    <mergeCell ref="B2:D2"/>
    <mergeCell ref="E2:G2"/>
    <mergeCell ref="H2:J2"/>
    <mergeCell ref="L2:N2"/>
  </mergeCells>
  <phoneticPr fontId="7" type="noConversion"/>
  <printOptions gridLines="1"/>
  <pageMargins left="0.75" right="0.75" top="1" bottom="1" header="0.5" footer="0.5"/>
  <pageSetup orientation="landscape" r:id="rId1"/>
  <headerFooter alignWithMargins="0">
    <oddFooter>&amp;CCurrent as of &amp;D</oddFooter>
  </headerFooter>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26"/>
  <sheetViews>
    <sheetView topLeftCell="A2" zoomScaleNormal="100" workbookViewId="0">
      <selection activeCell="B9" sqref="B9"/>
    </sheetView>
  </sheetViews>
  <sheetFormatPr defaultRowHeight="12.75" x14ac:dyDescent="0.2"/>
  <cols>
    <col min="1" max="1" width="21.5703125" bestFit="1" customWidth="1"/>
    <col min="2" max="2" width="14.28515625" bestFit="1" customWidth="1"/>
    <col min="3" max="3" width="18" bestFit="1" customWidth="1"/>
    <col min="4" max="5" width="11.140625" bestFit="1" customWidth="1"/>
    <col min="6" max="6" width="12.85546875" customWidth="1"/>
    <col min="7" max="7" width="24.5703125" customWidth="1"/>
    <col min="8" max="8" width="10.140625" bestFit="1" customWidth="1"/>
  </cols>
  <sheetData>
    <row r="1" spans="1:7" ht="21" thickBot="1" x14ac:dyDescent="0.25">
      <c r="A1" s="550" t="s">
        <v>1238</v>
      </c>
      <c r="B1" s="606"/>
      <c r="C1" s="606"/>
      <c r="D1" s="606"/>
      <c r="E1" s="606"/>
      <c r="F1" s="606"/>
      <c r="G1" s="607"/>
    </row>
    <row r="2" spans="1:7" ht="20.25" x14ac:dyDescent="0.3">
      <c r="A2" s="39"/>
      <c r="B2" s="13" t="s">
        <v>1250</v>
      </c>
      <c r="C2" s="13" t="s">
        <v>1251</v>
      </c>
      <c r="D2" s="13"/>
      <c r="E2" s="14"/>
      <c r="F2" s="14"/>
      <c r="G2" s="37"/>
    </row>
    <row r="3" spans="1:7" ht="20.25" x14ac:dyDescent="0.3">
      <c r="A3" s="39" t="s">
        <v>57</v>
      </c>
      <c r="B3" s="88">
        <v>45000</v>
      </c>
      <c r="C3" s="88">
        <v>45000</v>
      </c>
      <c r="D3" s="88"/>
      <c r="E3" s="14"/>
      <c r="F3" s="14"/>
      <c r="G3" s="37"/>
    </row>
    <row r="4" spans="1:7" ht="20.25" x14ac:dyDescent="0.3">
      <c r="A4" s="39" t="s">
        <v>36</v>
      </c>
      <c r="B4" s="88">
        <f>B29</f>
        <v>28510</v>
      </c>
      <c r="C4" s="88">
        <f>C28</f>
        <v>52776.409999999989</v>
      </c>
      <c r="D4" s="269"/>
      <c r="E4" s="270"/>
      <c r="F4" s="14"/>
      <c r="G4" s="37"/>
    </row>
    <row r="5" spans="1:7" ht="20.25" x14ac:dyDescent="0.3">
      <c r="A5" s="39" t="s">
        <v>992</v>
      </c>
      <c r="B5" s="88">
        <f>SUM(B3:B4)</f>
        <v>73510</v>
      </c>
      <c r="C5" s="88">
        <f>SUM(C3:C4)</f>
        <v>97776.409999999989</v>
      </c>
      <c r="D5" s="88"/>
      <c r="E5" s="47"/>
      <c r="F5" s="14"/>
      <c r="G5" s="37"/>
    </row>
    <row r="6" spans="1:7" ht="20.25" x14ac:dyDescent="0.3">
      <c r="A6" s="39" t="s">
        <v>47</v>
      </c>
      <c r="B6" s="88">
        <f>B3/2</f>
        <v>22500</v>
      </c>
      <c r="C6" s="88">
        <f>C29</f>
        <v>0</v>
      </c>
      <c r="D6" s="88"/>
      <c r="E6" s="14"/>
      <c r="F6" s="14"/>
      <c r="G6" s="37"/>
    </row>
    <row r="7" spans="1:7" ht="20.25" x14ac:dyDescent="0.3">
      <c r="A7" s="39" t="s">
        <v>1150</v>
      </c>
      <c r="B7" s="88">
        <f>B3+B6</f>
        <v>67500</v>
      </c>
      <c r="C7" s="88">
        <f>C3+C6</f>
        <v>45000</v>
      </c>
      <c r="D7" s="88"/>
      <c r="E7" s="47"/>
      <c r="F7" s="14"/>
      <c r="G7" s="37"/>
    </row>
    <row r="8" spans="1:7" ht="20.25" x14ac:dyDescent="0.3">
      <c r="A8" s="39" t="s">
        <v>39</v>
      </c>
      <c r="B8" s="88">
        <f>B7-D15</f>
        <v>67500</v>
      </c>
      <c r="C8" s="88">
        <f>C7-D19</f>
        <v>45000</v>
      </c>
      <c r="D8" s="88"/>
      <c r="E8" s="47"/>
      <c r="F8" s="14"/>
      <c r="G8" s="37"/>
    </row>
    <row r="9" spans="1:7" x14ac:dyDescent="0.2">
      <c r="A9" s="39" t="s">
        <v>35</v>
      </c>
      <c r="B9" s="90">
        <f>B7-D15-E15</f>
        <v>67500</v>
      </c>
      <c r="C9" s="90">
        <f>C7-D19-E19</f>
        <v>45000</v>
      </c>
      <c r="D9" s="126"/>
      <c r="E9" s="47"/>
      <c r="F9" s="139"/>
      <c r="G9" s="141"/>
    </row>
    <row r="10" spans="1:7" ht="21" thickBot="1" x14ac:dyDescent="0.35">
      <c r="A10" s="39"/>
      <c r="B10" s="13"/>
      <c r="C10" s="13"/>
      <c r="D10" s="13"/>
      <c r="E10" s="14"/>
      <c r="F10" s="14"/>
      <c r="G10" s="37"/>
    </row>
    <row r="11" spans="1:7" ht="38.25" x14ac:dyDescent="0.2">
      <c r="A11" s="19" t="s">
        <v>41</v>
      </c>
      <c r="B11" s="20" t="s">
        <v>64</v>
      </c>
      <c r="C11" s="20" t="s">
        <v>63</v>
      </c>
      <c r="D11" s="20" t="s">
        <v>37</v>
      </c>
      <c r="E11" s="20" t="s">
        <v>48</v>
      </c>
      <c r="F11" s="20" t="s">
        <v>40</v>
      </c>
      <c r="G11" s="21" t="s">
        <v>5</v>
      </c>
    </row>
    <row r="12" spans="1:7" x14ac:dyDescent="0.2">
      <c r="A12" s="98" t="s">
        <v>102</v>
      </c>
      <c r="B12" s="23"/>
      <c r="C12" s="462"/>
      <c r="D12" s="57"/>
      <c r="E12" s="57"/>
      <c r="F12" s="57"/>
      <c r="G12" s="248"/>
    </row>
    <row r="13" spans="1:7" x14ac:dyDescent="0.2">
      <c r="A13" s="100"/>
      <c r="B13" s="101"/>
      <c r="C13" s="165"/>
      <c r="D13" s="102"/>
      <c r="E13" s="102"/>
      <c r="F13" s="102"/>
      <c r="G13" s="133"/>
    </row>
    <row r="14" spans="1:7" x14ac:dyDescent="0.2">
      <c r="A14" s="128"/>
      <c r="B14" s="101"/>
      <c r="C14" s="165"/>
      <c r="D14" s="102"/>
      <c r="E14" s="102"/>
      <c r="F14" s="102"/>
      <c r="G14" s="249"/>
    </row>
    <row r="15" spans="1:7" x14ac:dyDescent="0.2">
      <c r="A15" s="25" t="s">
        <v>43</v>
      </c>
      <c r="B15" s="26">
        <f>SUM(B12:B14)</f>
        <v>0</v>
      </c>
      <c r="C15" s="61"/>
      <c r="D15" s="34">
        <f>SUM(D12:D14)</f>
        <v>0</v>
      </c>
      <c r="E15" s="61">
        <f>B15-D15</f>
        <v>0</v>
      </c>
      <c r="F15" s="60"/>
      <c r="G15" s="35"/>
    </row>
    <row r="16" spans="1:7" x14ac:dyDescent="0.2">
      <c r="A16" s="36"/>
      <c r="B16" s="36"/>
      <c r="C16" s="64"/>
      <c r="D16" s="36"/>
      <c r="E16" s="64"/>
      <c r="F16" s="64"/>
      <c r="G16" s="36"/>
    </row>
    <row r="17" spans="1:7" x14ac:dyDescent="0.2">
      <c r="A17" s="25" t="s">
        <v>659</v>
      </c>
      <c r="B17" s="26"/>
      <c r="C17" s="129"/>
      <c r="D17" s="228"/>
      <c r="E17" s="62"/>
      <c r="F17" s="58"/>
      <c r="G17" s="27"/>
    </row>
    <row r="18" spans="1:7" x14ac:dyDescent="0.2">
      <c r="A18" s="99"/>
      <c r="B18" s="34"/>
      <c r="C18" s="129"/>
      <c r="D18" s="228"/>
      <c r="E18" s="62"/>
      <c r="F18" s="456"/>
      <c r="G18" s="27"/>
    </row>
    <row r="19" spans="1:7" ht="13.5" thickBot="1" x14ac:dyDescent="0.25">
      <c r="A19" s="103" t="s">
        <v>43</v>
      </c>
      <c r="B19" s="104">
        <f>SUM(B17:B18)</f>
        <v>0</v>
      </c>
      <c r="C19" s="56"/>
      <c r="D19" s="104">
        <f>SUM(D17:D18)</f>
        <v>0</v>
      </c>
      <c r="E19" s="56">
        <f>SUM(E17:E18)</f>
        <v>0</v>
      </c>
      <c r="F19" s="56"/>
      <c r="G19" s="105"/>
    </row>
    <row r="20" spans="1:7" ht="13.5" thickBot="1" x14ac:dyDescent="0.25"/>
    <row r="21" spans="1:7" ht="21" thickBot="1" x14ac:dyDescent="0.25">
      <c r="A21" s="550" t="s">
        <v>1170</v>
      </c>
      <c r="B21" s="606"/>
      <c r="C21" s="606"/>
      <c r="D21" s="606"/>
      <c r="E21" s="606"/>
      <c r="F21" s="606"/>
      <c r="G21" s="607"/>
    </row>
    <row r="22" spans="1:7" ht="20.25" x14ac:dyDescent="0.3">
      <c r="A22" s="39"/>
      <c r="B22" s="13" t="s">
        <v>1148</v>
      </c>
      <c r="C22" s="13" t="s">
        <v>1149</v>
      </c>
      <c r="D22" s="13"/>
      <c r="E22" s="14"/>
      <c r="F22" s="14"/>
      <c r="G22" s="37"/>
    </row>
    <row r="23" spans="1:7" ht="20.25" x14ac:dyDescent="0.3">
      <c r="A23" s="39" t="s">
        <v>57</v>
      </c>
      <c r="B23" s="88">
        <v>45000</v>
      </c>
      <c r="C23" s="88">
        <v>45000</v>
      </c>
      <c r="D23" s="88"/>
      <c r="E23" s="14"/>
      <c r="F23" s="14"/>
      <c r="G23" s="37"/>
    </row>
    <row r="24" spans="1:7" ht="20.25" x14ac:dyDescent="0.3">
      <c r="A24" s="39" t="s">
        <v>36</v>
      </c>
      <c r="B24" s="88">
        <f>B49</f>
        <v>17500</v>
      </c>
      <c r="C24" s="88">
        <f>C48</f>
        <v>28356.43</v>
      </c>
      <c r="D24" s="269"/>
      <c r="E24" s="270"/>
      <c r="F24" s="14"/>
      <c r="G24" s="37"/>
    </row>
    <row r="25" spans="1:7" ht="20.25" x14ac:dyDescent="0.3">
      <c r="A25" s="39" t="s">
        <v>992</v>
      </c>
      <c r="B25" s="88">
        <f>SUM(B23:B24)</f>
        <v>62500</v>
      </c>
      <c r="C25" s="88">
        <f>SUM(C23:C24)</f>
        <v>73356.429999999993</v>
      </c>
      <c r="D25" s="88"/>
      <c r="E25" s="47"/>
      <c r="F25" s="14"/>
      <c r="G25" s="37"/>
    </row>
    <row r="26" spans="1:7" ht="20.25" x14ac:dyDescent="0.3">
      <c r="A26" s="39" t="s">
        <v>47</v>
      </c>
      <c r="B26" s="88">
        <f>B49</f>
        <v>17500</v>
      </c>
      <c r="C26" s="88">
        <f>C23/2</f>
        <v>22500</v>
      </c>
      <c r="D26" s="88"/>
      <c r="E26" s="14"/>
      <c r="F26" s="14"/>
      <c r="G26" s="37"/>
    </row>
    <row r="27" spans="1:7" ht="20.25" x14ac:dyDescent="0.3">
      <c r="A27" s="39" t="s">
        <v>1150</v>
      </c>
      <c r="B27" s="88">
        <f>B23+B26</f>
        <v>62500</v>
      </c>
      <c r="C27" s="88">
        <f>C23+C26</f>
        <v>67500</v>
      </c>
      <c r="D27" s="88"/>
      <c r="E27" s="47"/>
      <c r="F27" s="14"/>
      <c r="G27" s="37"/>
    </row>
    <row r="28" spans="1:7" ht="20.25" x14ac:dyDescent="0.3">
      <c r="A28" s="39" t="s">
        <v>39</v>
      </c>
      <c r="B28" s="88">
        <f>B25-D35</f>
        <v>62500</v>
      </c>
      <c r="C28" s="88">
        <f>C25-D39</f>
        <v>52776.409999999989</v>
      </c>
      <c r="D28" s="88"/>
      <c r="E28" s="47"/>
      <c r="F28" s="14"/>
      <c r="G28" s="37"/>
    </row>
    <row r="29" spans="1:7" x14ac:dyDescent="0.2">
      <c r="A29" s="39" t="s">
        <v>35</v>
      </c>
      <c r="B29" s="90">
        <f>B27-D35-E35</f>
        <v>28510</v>
      </c>
      <c r="C29" s="90">
        <f>C27-D39-E39</f>
        <v>0</v>
      </c>
      <c r="D29" s="126"/>
      <c r="E29" s="47"/>
      <c r="F29" s="139"/>
      <c r="G29" s="141"/>
    </row>
    <row r="30" spans="1:7" ht="21" thickBot="1" x14ac:dyDescent="0.35">
      <c r="A30" s="39"/>
      <c r="B30" s="13"/>
      <c r="C30" s="13"/>
      <c r="D30" s="13"/>
      <c r="E30" s="14"/>
      <c r="F30" s="14"/>
      <c r="G30" s="37"/>
    </row>
    <row r="31" spans="1:7" ht="38.25" x14ac:dyDescent="0.2">
      <c r="A31" s="19" t="s">
        <v>41</v>
      </c>
      <c r="B31" s="20" t="s">
        <v>64</v>
      </c>
      <c r="C31" s="20" t="s">
        <v>63</v>
      </c>
      <c r="D31" s="20" t="s">
        <v>37</v>
      </c>
      <c r="E31" s="20" t="s">
        <v>48</v>
      </c>
      <c r="F31" s="20" t="s">
        <v>40</v>
      </c>
      <c r="G31" s="21" t="s">
        <v>5</v>
      </c>
    </row>
    <row r="32" spans="1:7" x14ac:dyDescent="0.2">
      <c r="A32" s="98" t="s">
        <v>102</v>
      </c>
      <c r="B32" s="23">
        <v>33990</v>
      </c>
      <c r="C32" s="462">
        <v>45603</v>
      </c>
      <c r="D32" s="57"/>
      <c r="E32" s="57"/>
      <c r="F32" s="57"/>
      <c r="G32" s="248"/>
    </row>
    <row r="33" spans="1:7" x14ac:dyDescent="0.2">
      <c r="A33" s="100"/>
      <c r="B33" s="101"/>
      <c r="C33" s="165"/>
      <c r="D33" s="102"/>
      <c r="E33" s="102"/>
      <c r="F33" s="102"/>
      <c r="G33" s="133"/>
    </row>
    <row r="34" spans="1:7" x14ac:dyDescent="0.2">
      <c r="A34" s="128"/>
      <c r="B34" s="101"/>
      <c r="C34" s="165"/>
      <c r="D34" s="102"/>
      <c r="E34" s="102"/>
      <c r="F34" s="102"/>
      <c r="G34" s="249"/>
    </row>
    <row r="35" spans="1:7" x14ac:dyDescent="0.2">
      <c r="A35" s="25" t="s">
        <v>43</v>
      </c>
      <c r="B35" s="26">
        <f>SUM(B32:B34)</f>
        <v>33990</v>
      </c>
      <c r="C35" s="61"/>
      <c r="D35" s="34">
        <f>SUM(D32:D34)</f>
        <v>0</v>
      </c>
      <c r="E35" s="61">
        <f>B35-D35</f>
        <v>33990</v>
      </c>
      <c r="F35" s="60"/>
      <c r="G35" s="35"/>
    </row>
    <row r="36" spans="1:7" x14ac:dyDescent="0.2">
      <c r="A36" s="36"/>
      <c r="B36" s="36"/>
      <c r="C36" s="64"/>
      <c r="D36" s="36"/>
      <c r="E36" s="64"/>
      <c r="F36" s="64"/>
      <c r="G36" s="36"/>
    </row>
    <row r="37" spans="1:7" x14ac:dyDescent="0.2">
      <c r="A37" s="25" t="s">
        <v>659</v>
      </c>
      <c r="B37" s="26">
        <v>67500</v>
      </c>
      <c r="C37" s="129">
        <v>45383</v>
      </c>
      <c r="D37" s="228"/>
      <c r="E37" s="62"/>
      <c r="F37" s="58" t="s">
        <v>1177</v>
      </c>
      <c r="G37" s="27"/>
    </row>
    <row r="38" spans="1:7" x14ac:dyDescent="0.2">
      <c r="A38" s="99"/>
      <c r="B38" s="34"/>
      <c r="C38" s="129"/>
      <c r="D38" s="228">
        <v>20580.02</v>
      </c>
      <c r="E38" s="62">
        <f>B37-D38</f>
        <v>46919.979999999996</v>
      </c>
      <c r="F38" s="456" t="s">
        <v>1219</v>
      </c>
      <c r="G38" s="27"/>
    </row>
    <row r="39" spans="1:7" ht="13.5" thickBot="1" x14ac:dyDescent="0.25">
      <c r="A39" s="103" t="s">
        <v>43</v>
      </c>
      <c r="B39" s="104">
        <f>SUM(B37:B38)</f>
        <v>67500</v>
      </c>
      <c r="C39" s="56"/>
      <c r="D39" s="104">
        <f>SUM(D37:D38)</f>
        <v>20580.02</v>
      </c>
      <c r="E39" s="56">
        <f>SUM(E37:E38)</f>
        <v>46919.979999999996</v>
      </c>
      <c r="F39" s="56"/>
      <c r="G39" s="105"/>
    </row>
    <row r="40" spans="1:7" ht="13.5" thickBot="1" x14ac:dyDescent="0.25"/>
    <row r="41" spans="1:7" ht="21" thickBot="1" x14ac:dyDescent="0.25">
      <c r="A41" s="550" t="s">
        <v>1171</v>
      </c>
      <c r="B41" s="606"/>
      <c r="C41" s="606"/>
      <c r="D41" s="606"/>
      <c r="E41" s="606"/>
      <c r="F41" s="606"/>
      <c r="G41" s="607"/>
    </row>
    <row r="42" spans="1:7" ht="20.25" x14ac:dyDescent="0.3">
      <c r="A42" s="39"/>
      <c r="B42" s="13" t="s">
        <v>981</v>
      </c>
      <c r="C42" s="13" t="s">
        <v>982</v>
      </c>
      <c r="D42" s="13"/>
      <c r="E42" s="14"/>
      <c r="F42" s="14"/>
      <c r="G42" s="37"/>
    </row>
    <row r="43" spans="1:7" ht="20.25" x14ac:dyDescent="0.3">
      <c r="A43" s="39" t="s">
        <v>57</v>
      </c>
      <c r="B43" s="88">
        <v>45000</v>
      </c>
      <c r="C43" s="88">
        <v>45000</v>
      </c>
      <c r="D43" s="88"/>
      <c r="E43" s="14"/>
      <c r="F43" s="14"/>
      <c r="G43" s="37"/>
    </row>
    <row r="44" spans="1:7" ht="20.25" x14ac:dyDescent="0.3">
      <c r="A44" s="39" t="s">
        <v>36</v>
      </c>
      <c r="B44" s="88">
        <f>IF(B69&gt;22500, 22500,B69)</f>
        <v>22500</v>
      </c>
      <c r="C44" s="88">
        <f>IF(C69&gt;22500,22500,C69)</f>
        <v>22500</v>
      </c>
      <c r="D44" s="269"/>
      <c r="E44" s="270"/>
      <c r="F44" s="14"/>
      <c r="G44" s="37"/>
    </row>
    <row r="45" spans="1:7" ht="20.25" x14ac:dyDescent="0.3">
      <c r="A45" s="39" t="s">
        <v>969</v>
      </c>
      <c r="B45" s="88">
        <f>SUM(B43:B44)</f>
        <v>67500</v>
      </c>
      <c r="C45" s="88">
        <f>SUM(C43:C44)</f>
        <v>67500</v>
      </c>
      <c r="D45" s="88"/>
      <c r="E45" s="47"/>
      <c r="F45" s="14"/>
      <c r="G45" s="37"/>
    </row>
    <row r="46" spans="1:7" ht="20.25" x14ac:dyDescent="0.3">
      <c r="A46" s="39" t="s">
        <v>47</v>
      </c>
      <c r="B46" s="88">
        <v>22500</v>
      </c>
      <c r="C46" s="88">
        <f>IF(C70&gt;22500, 22500, C70)</f>
        <v>22500</v>
      </c>
      <c r="D46" s="88"/>
      <c r="E46" s="14"/>
      <c r="F46" s="14"/>
      <c r="G46" s="37"/>
    </row>
    <row r="47" spans="1:7" ht="20.25" x14ac:dyDescent="0.3">
      <c r="A47" s="39" t="s">
        <v>983</v>
      </c>
      <c r="B47" s="88">
        <f>B43+B46</f>
        <v>67500</v>
      </c>
      <c r="C47" s="88">
        <f>C43+C46</f>
        <v>67500</v>
      </c>
      <c r="D47" s="88"/>
      <c r="E47" s="47"/>
      <c r="F47" s="14"/>
      <c r="G47" s="37"/>
    </row>
    <row r="48" spans="1:7" ht="20.25" x14ac:dyDescent="0.3">
      <c r="A48" s="39" t="s">
        <v>39</v>
      </c>
      <c r="B48" s="88">
        <f>B45-D55</f>
        <v>67500</v>
      </c>
      <c r="C48" s="88">
        <f>C45-D60</f>
        <v>28356.43</v>
      </c>
      <c r="D48" s="88"/>
      <c r="E48" s="47"/>
      <c r="F48" s="14"/>
      <c r="G48" s="37"/>
    </row>
    <row r="49" spans="1:7" x14ac:dyDescent="0.2">
      <c r="A49" s="39" t="s">
        <v>35</v>
      </c>
      <c r="B49" s="90">
        <f>B47-D55-E55</f>
        <v>17500</v>
      </c>
      <c r="C49" s="90">
        <f>C47-D60-E60</f>
        <v>28356.43</v>
      </c>
      <c r="D49" s="126"/>
      <c r="E49" s="47"/>
      <c r="F49" s="139"/>
      <c r="G49" s="141"/>
    </row>
    <row r="50" spans="1:7" ht="21" thickBot="1" x14ac:dyDescent="0.35">
      <c r="A50" s="39"/>
      <c r="B50" s="13"/>
      <c r="C50" s="13"/>
      <c r="D50" s="13"/>
      <c r="E50" s="14"/>
      <c r="F50" s="14"/>
      <c r="G50" s="37"/>
    </row>
    <row r="51" spans="1:7" ht="38.25" x14ac:dyDescent="0.2">
      <c r="A51" s="19" t="s">
        <v>41</v>
      </c>
      <c r="B51" s="20" t="s">
        <v>64</v>
      </c>
      <c r="C51" s="20" t="s">
        <v>63</v>
      </c>
      <c r="D51" s="20" t="s">
        <v>37</v>
      </c>
      <c r="E51" s="20" t="s">
        <v>48</v>
      </c>
      <c r="F51" s="20" t="s">
        <v>40</v>
      </c>
      <c r="G51" s="21" t="s">
        <v>5</v>
      </c>
    </row>
    <row r="52" spans="1:7" x14ac:dyDescent="0.2">
      <c r="A52" s="98" t="s">
        <v>102</v>
      </c>
      <c r="B52" s="23">
        <v>50000</v>
      </c>
      <c r="C52" s="127" t="s">
        <v>1074</v>
      </c>
      <c r="D52" s="57"/>
      <c r="E52" s="57">
        <v>50000</v>
      </c>
      <c r="F52" s="57"/>
      <c r="G52" s="248"/>
    </row>
    <row r="53" spans="1:7" x14ac:dyDescent="0.2">
      <c r="A53" s="100"/>
      <c r="B53" s="101"/>
      <c r="C53" s="165"/>
      <c r="D53" s="102"/>
      <c r="E53" s="102"/>
      <c r="F53" s="102"/>
      <c r="G53" s="133"/>
    </row>
    <row r="54" spans="1:7" x14ac:dyDescent="0.2">
      <c r="A54" s="128"/>
      <c r="B54" s="101"/>
      <c r="C54" s="165"/>
      <c r="D54" s="102"/>
      <c r="E54" s="102"/>
      <c r="F54" s="102"/>
      <c r="G54" s="249"/>
    </row>
    <row r="55" spans="1:7" x14ac:dyDescent="0.2">
      <c r="A55" s="25" t="s">
        <v>43</v>
      </c>
      <c r="B55" s="26">
        <f>SUM(B52:B54)</f>
        <v>50000</v>
      </c>
      <c r="C55" s="61"/>
      <c r="D55" s="34">
        <f>SUM(D52:D54)</f>
        <v>0</v>
      </c>
      <c r="E55" s="61">
        <f>B55-D55</f>
        <v>50000</v>
      </c>
      <c r="F55" s="60"/>
      <c r="G55" s="35"/>
    </row>
    <row r="56" spans="1:7" x14ac:dyDescent="0.2">
      <c r="A56" s="36"/>
      <c r="B56" s="36"/>
      <c r="C56" s="64"/>
      <c r="D56" s="36"/>
      <c r="E56" s="64"/>
      <c r="F56" s="64"/>
      <c r="G56" s="36"/>
    </row>
    <row r="57" spans="1:7" x14ac:dyDescent="0.2">
      <c r="A57" s="25" t="s">
        <v>659</v>
      </c>
      <c r="B57" s="34">
        <v>67500</v>
      </c>
      <c r="C57" s="129" t="s">
        <v>1020</v>
      </c>
      <c r="D57" s="130">
        <v>31905.41</v>
      </c>
      <c r="E57" s="62">
        <f>B57-D57</f>
        <v>35594.589999999997</v>
      </c>
      <c r="F57" s="58" t="s">
        <v>1121</v>
      </c>
      <c r="G57" s="27"/>
    </row>
    <row r="58" spans="1:7" x14ac:dyDescent="0.2">
      <c r="A58" s="25"/>
      <c r="B58" s="34"/>
      <c r="C58" s="129"/>
      <c r="D58" s="228">
        <v>7238.16</v>
      </c>
      <c r="E58" s="62">
        <f>B59-D58</f>
        <v>-7238.16</v>
      </c>
      <c r="F58" s="58">
        <v>24123</v>
      </c>
      <c r="G58" s="27"/>
    </row>
    <row r="59" spans="1:7" x14ac:dyDescent="0.2">
      <c r="A59" s="99"/>
      <c r="B59" s="34"/>
      <c r="C59" s="129"/>
      <c r="E59">
        <v>-28356.43</v>
      </c>
      <c r="F59" s="58" t="s">
        <v>515</v>
      </c>
      <c r="G59" s="27"/>
    </row>
    <row r="60" spans="1:7" ht="13.5" thickBot="1" x14ac:dyDescent="0.25">
      <c r="A60" s="103" t="s">
        <v>43</v>
      </c>
      <c r="B60" s="104">
        <f>SUM(B57:B59)</f>
        <v>67500</v>
      </c>
      <c r="C60" s="56"/>
      <c r="D60" s="104">
        <f>SUM(D57:D58)</f>
        <v>39143.57</v>
      </c>
      <c r="E60" s="56">
        <f>SUM(E57:E59)</f>
        <v>0</v>
      </c>
      <c r="F60" s="56"/>
      <c r="G60" s="105"/>
    </row>
    <row r="61" spans="1:7" ht="13.5" thickBot="1" x14ac:dyDescent="0.25"/>
    <row r="62" spans="1:7" ht="21" thickBot="1" x14ac:dyDescent="0.25">
      <c r="A62" s="550" t="s">
        <v>872</v>
      </c>
      <c r="B62" s="606"/>
      <c r="C62" s="606"/>
      <c r="D62" s="606"/>
      <c r="E62" s="606"/>
      <c r="F62" s="606"/>
      <c r="G62" s="607"/>
    </row>
    <row r="63" spans="1:7" ht="20.25" x14ac:dyDescent="0.3">
      <c r="A63" s="39"/>
      <c r="B63" s="13" t="s">
        <v>873</v>
      </c>
      <c r="C63" s="13" t="s">
        <v>874</v>
      </c>
      <c r="D63" s="13"/>
      <c r="E63" s="14"/>
      <c r="F63" s="14"/>
      <c r="G63" s="37"/>
    </row>
    <row r="64" spans="1:7" ht="20.25" x14ac:dyDescent="0.3">
      <c r="A64" s="39" t="s">
        <v>57</v>
      </c>
      <c r="B64" s="88">
        <v>45000</v>
      </c>
      <c r="C64" s="88">
        <v>45000</v>
      </c>
      <c r="D64" s="88"/>
      <c r="E64" s="14"/>
      <c r="F64" s="14"/>
      <c r="G64" s="37"/>
    </row>
    <row r="65" spans="1:7" ht="20.25" x14ac:dyDescent="0.3">
      <c r="A65" s="39" t="s">
        <v>36</v>
      </c>
      <c r="B65" s="88">
        <f>IF(B91&gt;22500, 22500,B91)</f>
        <v>22500</v>
      </c>
      <c r="C65" s="88">
        <f>IF(C91&gt;22500,22500,C91)</f>
        <v>22500</v>
      </c>
      <c r="D65" s="269"/>
      <c r="E65" s="270"/>
      <c r="F65" s="14"/>
      <c r="G65" s="37"/>
    </row>
    <row r="66" spans="1:7" ht="20.25" x14ac:dyDescent="0.3">
      <c r="A66" s="39" t="s">
        <v>862</v>
      </c>
      <c r="B66" s="88">
        <f>SUM(B64:B65)</f>
        <v>67500</v>
      </c>
      <c r="C66" s="88">
        <f>SUM(C64:C65)</f>
        <v>67500</v>
      </c>
      <c r="D66" s="88"/>
      <c r="E66" s="47"/>
      <c r="F66" s="14"/>
      <c r="G66" s="37"/>
    </row>
    <row r="67" spans="1:7" ht="20.25" x14ac:dyDescent="0.3">
      <c r="A67" s="39" t="s">
        <v>47</v>
      </c>
      <c r="B67" s="88">
        <v>22500</v>
      </c>
      <c r="C67" s="88">
        <v>22500</v>
      </c>
      <c r="D67" s="88"/>
      <c r="E67" s="14"/>
      <c r="F67" s="14"/>
      <c r="G67" s="37"/>
    </row>
    <row r="68" spans="1:7" ht="20.25" x14ac:dyDescent="0.3">
      <c r="A68" s="39" t="s">
        <v>875</v>
      </c>
      <c r="B68" s="88">
        <f>B64+B67</f>
        <v>67500</v>
      </c>
      <c r="C68" s="88">
        <f>C64+C67</f>
        <v>67500</v>
      </c>
      <c r="D68" s="88"/>
      <c r="E68" s="47"/>
      <c r="F68" s="14"/>
      <c r="G68" s="37"/>
    </row>
    <row r="69" spans="1:7" ht="20.25" x14ac:dyDescent="0.3">
      <c r="A69" s="39" t="s">
        <v>39</v>
      </c>
      <c r="B69" s="88">
        <f>B66-D76</f>
        <v>67500</v>
      </c>
      <c r="C69" s="88">
        <f>C66-D82</f>
        <v>33907.46</v>
      </c>
      <c r="D69" s="88"/>
      <c r="E69" s="47"/>
      <c r="F69" s="14"/>
      <c r="G69" s="37"/>
    </row>
    <row r="70" spans="1:7" x14ac:dyDescent="0.2">
      <c r="A70" s="39" t="s">
        <v>35</v>
      </c>
      <c r="B70" s="90">
        <f>B68-D76-E76</f>
        <v>67500</v>
      </c>
      <c r="C70" s="90">
        <f>C68-D82-E82</f>
        <v>33907.46</v>
      </c>
      <c r="D70" s="126"/>
      <c r="E70" s="47"/>
      <c r="F70" s="139"/>
      <c r="G70" s="141"/>
    </row>
    <row r="71" spans="1:7" ht="21" thickBot="1" x14ac:dyDescent="0.35">
      <c r="A71" s="39"/>
      <c r="B71" s="13"/>
      <c r="C71" s="13"/>
      <c r="D71" s="13"/>
      <c r="E71" s="14"/>
      <c r="F71" s="14"/>
      <c r="G71" s="37"/>
    </row>
    <row r="72" spans="1:7" ht="38.25" x14ac:dyDescent="0.2">
      <c r="A72" s="19" t="s">
        <v>41</v>
      </c>
      <c r="B72" s="20" t="s">
        <v>64</v>
      </c>
      <c r="C72" s="20" t="s">
        <v>63</v>
      </c>
      <c r="D72" s="20" t="s">
        <v>37</v>
      </c>
      <c r="E72" s="20" t="s">
        <v>48</v>
      </c>
      <c r="F72" s="20" t="s">
        <v>40</v>
      </c>
      <c r="G72" s="21" t="s">
        <v>5</v>
      </c>
    </row>
    <row r="73" spans="1:7" x14ac:dyDescent="0.2">
      <c r="A73" s="98" t="s">
        <v>102</v>
      </c>
      <c r="B73" s="23"/>
      <c r="C73" s="127"/>
      <c r="D73" s="57"/>
      <c r="E73" s="57"/>
      <c r="F73" s="57"/>
      <c r="G73" s="248"/>
    </row>
    <row r="74" spans="1:7" x14ac:dyDescent="0.2">
      <c r="A74" s="100"/>
      <c r="B74" s="101"/>
      <c r="C74" s="165"/>
      <c r="D74" s="102"/>
      <c r="E74" s="102"/>
      <c r="F74" s="102"/>
      <c r="G74" s="133"/>
    </row>
    <row r="75" spans="1:7" x14ac:dyDescent="0.2">
      <c r="A75" s="128"/>
      <c r="B75" s="101"/>
      <c r="C75" s="165"/>
      <c r="D75" s="102"/>
      <c r="E75" s="102"/>
      <c r="F75" s="102"/>
      <c r="G75" s="249"/>
    </row>
    <row r="76" spans="1:7" x14ac:dyDescent="0.2">
      <c r="A76" s="25" t="s">
        <v>43</v>
      </c>
      <c r="B76" s="26">
        <f>SUM(B73:B75)</f>
        <v>0</v>
      </c>
      <c r="C76" s="61"/>
      <c r="D76" s="34">
        <f>SUM(D73:D75)</f>
        <v>0</v>
      </c>
      <c r="E76" s="61">
        <f>B76-D76</f>
        <v>0</v>
      </c>
      <c r="F76" s="60"/>
      <c r="G76" s="35"/>
    </row>
    <row r="77" spans="1:7" x14ac:dyDescent="0.2">
      <c r="A77" s="36"/>
      <c r="B77" s="36"/>
      <c r="C77" s="64"/>
      <c r="D77" s="36"/>
      <c r="E77" s="64"/>
      <c r="F77" s="64"/>
      <c r="G77" s="36"/>
    </row>
    <row r="78" spans="1:7" x14ac:dyDescent="0.2">
      <c r="A78" s="25" t="s">
        <v>659</v>
      </c>
      <c r="B78" s="34"/>
      <c r="C78" s="129"/>
      <c r="D78" s="130"/>
      <c r="E78" s="62">
        <f>B78-D78</f>
        <v>0</v>
      </c>
      <c r="F78" s="58"/>
      <c r="G78" s="27"/>
    </row>
    <row r="79" spans="1:7" x14ac:dyDescent="0.2">
      <c r="A79" s="99"/>
      <c r="B79" s="34">
        <v>67500</v>
      </c>
      <c r="C79" s="129" t="s">
        <v>938</v>
      </c>
      <c r="D79" s="228">
        <v>22382.720000000001</v>
      </c>
      <c r="E79" s="62">
        <f>B79-D79</f>
        <v>45117.279999999999</v>
      </c>
      <c r="F79" s="58" t="s">
        <v>939</v>
      </c>
      <c r="G79" s="27"/>
    </row>
    <row r="80" spans="1:7" x14ac:dyDescent="0.2">
      <c r="A80" s="366"/>
      <c r="B80" s="367"/>
      <c r="C80" s="368">
        <v>45016</v>
      </c>
      <c r="D80" s="369">
        <v>11209.82</v>
      </c>
      <c r="E80" s="151">
        <f>-E79</f>
        <v>-45117.279999999999</v>
      </c>
      <c r="F80" s="151" t="s">
        <v>1021</v>
      </c>
      <c r="G80" s="42" t="s">
        <v>99</v>
      </c>
    </row>
    <row r="81" spans="1:7" x14ac:dyDescent="0.2">
      <c r="A81" s="366"/>
      <c r="B81" s="367"/>
      <c r="C81" s="368"/>
      <c r="D81" s="369"/>
      <c r="E81" s="143"/>
      <c r="F81" s="151"/>
      <c r="G81" s="42"/>
    </row>
    <row r="82" spans="1:7" ht="13.5" thickBot="1" x14ac:dyDescent="0.25">
      <c r="A82" s="103" t="s">
        <v>43</v>
      </c>
      <c r="B82" s="104">
        <f>SUM(B78:B79)</f>
        <v>67500</v>
      </c>
      <c r="C82" s="56"/>
      <c r="D82" s="104">
        <f>SUM(D78:D80)</f>
        <v>33592.54</v>
      </c>
      <c r="E82" s="56">
        <f>SUM(E78:E81)</f>
        <v>0</v>
      </c>
      <c r="F82" s="56"/>
      <c r="G82" s="105"/>
    </row>
    <row r="83" spans="1:7" ht="13.5" thickBot="1" x14ac:dyDescent="0.25"/>
    <row r="84" spans="1:7" ht="21" thickBot="1" x14ac:dyDescent="0.25">
      <c r="A84" s="550" t="s">
        <v>790</v>
      </c>
      <c r="B84" s="606"/>
      <c r="C84" s="606"/>
      <c r="D84" s="606"/>
      <c r="E84" s="606"/>
      <c r="F84" s="606"/>
      <c r="G84" s="607"/>
    </row>
    <row r="85" spans="1:7" ht="20.25" x14ac:dyDescent="0.3">
      <c r="A85" s="39"/>
      <c r="B85" s="13" t="s">
        <v>791</v>
      </c>
      <c r="C85" s="13" t="s">
        <v>792</v>
      </c>
      <c r="D85" s="13"/>
      <c r="E85" s="14"/>
      <c r="F85" s="14"/>
      <c r="G85" s="37"/>
    </row>
    <row r="86" spans="1:7" ht="20.25" x14ac:dyDescent="0.3">
      <c r="A86" s="39" t="s">
        <v>57</v>
      </c>
      <c r="B86" s="88">
        <v>45000</v>
      </c>
      <c r="C86" s="88">
        <v>45000</v>
      </c>
      <c r="D86" s="88"/>
      <c r="E86" s="14"/>
      <c r="F86" s="14"/>
      <c r="G86" s="37"/>
    </row>
    <row r="87" spans="1:7" ht="20.25" x14ac:dyDescent="0.3">
      <c r="A87" s="39" t="s">
        <v>36</v>
      </c>
      <c r="B87" s="88">
        <f>B112</f>
        <v>0</v>
      </c>
      <c r="C87" s="88">
        <f>C112</f>
        <v>37738.559999999998</v>
      </c>
      <c r="D87" s="269">
        <v>44288</v>
      </c>
      <c r="E87" s="270" t="s">
        <v>800</v>
      </c>
      <c r="F87" s="14"/>
      <c r="G87" s="37"/>
    </row>
    <row r="88" spans="1:7" ht="20.25" x14ac:dyDescent="0.3">
      <c r="A88" s="39" t="s">
        <v>785</v>
      </c>
      <c r="B88" s="88">
        <f>SUM(B86:B87)</f>
        <v>45000</v>
      </c>
      <c r="C88" s="88">
        <f>SUM(C86:C87)</f>
        <v>82738.559999999998</v>
      </c>
      <c r="D88" s="88"/>
      <c r="E88" s="47"/>
      <c r="F88" s="14"/>
      <c r="G88" s="37"/>
    </row>
    <row r="89" spans="1:7" ht="20.25" x14ac:dyDescent="0.3">
      <c r="A89" s="39" t="s">
        <v>47</v>
      </c>
      <c r="B89" s="88">
        <v>0</v>
      </c>
      <c r="C89" s="88">
        <v>37738.559999999998</v>
      </c>
      <c r="D89" s="88"/>
      <c r="E89" s="14"/>
      <c r="F89" s="14"/>
      <c r="G89" s="37"/>
    </row>
    <row r="90" spans="1:7" ht="20.25" x14ac:dyDescent="0.3">
      <c r="A90" s="39" t="s">
        <v>793</v>
      </c>
      <c r="B90" s="88">
        <f>B86+B89</f>
        <v>45000</v>
      </c>
      <c r="C90" s="88">
        <f>C86+C89</f>
        <v>82738.559999999998</v>
      </c>
      <c r="D90" s="88"/>
      <c r="E90" s="47"/>
      <c r="F90" s="14"/>
      <c r="G90" s="37"/>
    </row>
    <row r="91" spans="1:7" ht="20.25" x14ac:dyDescent="0.3">
      <c r="A91" s="39" t="s">
        <v>39</v>
      </c>
      <c r="B91" s="88">
        <f>B88-D98</f>
        <v>45000</v>
      </c>
      <c r="C91" s="88">
        <f>C88-E98</f>
        <v>82738.559999999998</v>
      </c>
      <c r="D91" s="88"/>
      <c r="E91" s="47"/>
      <c r="F91" s="14"/>
      <c r="G91" s="37"/>
    </row>
    <row r="92" spans="1:7" x14ac:dyDescent="0.2">
      <c r="A92" s="39" t="s">
        <v>35</v>
      </c>
      <c r="B92" s="90">
        <f>B90-D98-E98</f>
        <v>45000</v>
      </c>
      <c r="C92" s="90">
        <f>C90-D103-E103</f>
        <v>65058.96</v>
      </c>
      <c r="D92" s="126"/>
      <c r="E92" s="47"/>
      <c r="F92" s="139"/>
      <c r="G92" s="141"/>
    </row>
    <row r="93" spans="1:7" ht="21" thickBot="1" x14ac:dyDescent="0.35">
      <c r="A93" s="39"/>
      <c r="B93" s="13"/>
      <c r="C93" s="13"/>
      <c r="D93" s="13"/>
      <c r="E93" s="14"/>
      <c r="F93" s="14"/>
      <c r="G93" s="37"/>
    </row>
    <row r="94" spans="1:7" ht="38.25" x14ac:dyDescent="0.2">
      <c r="A94" s="19" t="s">
        <v>41</v>
      </c>
      <c r="B94" s="20" t="s">
        <v>64</v>
      </c>
      <c r="C94" s="20" t="s">
        <v>63</v>
      </c>
      <c r="D94" s="20" t="s">
        <v>37</v>
      </c>
      <c r="E94" s="20" t="s">
        <v>48</v>
      </c>
      <c r="F94" s="20" t="s">
        <v>40</v>
      </c>
      <c r="G94" s="21" t="s">
        <v>5</v>
      </c>
    </row>
    <row r="95" spans="1:7" x14ac:dyDescent="0.2">
      <c r="A95" s="98" t="s">
        <v>102</v>
      </c>
      <c r="B95" s="23"/>
      <c r="C95" s="127"/>
      <c r="D95" s="57"/>
      <c r="E95" s="57"/>
      <c r="F95" s="57"/>
      <c r="G95" s="248"/>
    </row>
    <row r="96" spans="1:7" x14ac:dyDescent="0.2">
      <c r="A96" s="100"/>
      <c r="B96" s="101"/>
      <c r="C96" s="165"/>
      <c r="D96" s="102"/>
      <c r="E96" s="102"/>
      <c r="F96" s="102"/>
      <c r="G96" s="133"/>
    </row>
    <row r="97" spans="1:7" x14ac:dyDescent="0.2">
      <c r="A97" s="128"/>
      <c r="B97" s="101"/>
      <c r="C97" s="165"/>
      <c r="D97" s="102"/>
      <c r="E97" s="102"/>
      <c r="F97" s="102"/>
      <c r="G97" s="249"/>
    </row>
    <row r="98" spans="1:7" x14ac:dyDescent="0.2">
      <c r="A98" s="25" t="s">
        <v>43</v>
      </c>
      <c r="B98" s="26">
        <f>SUM(B95:B97)</f>
        <v>0</v>
      </c>
      <c r="C98" s="61"/>
      <c r="D98" s="34">
        <f>SUM(D95:D97)</f>
        <v>0</v>
      </c>
      <c r="E98" s="61">
        <f>B98-D98</f>
        <v>0</v>
      </c>
      <c r="F98" s="60"/>
      <c r="G98" s="35"/>
    </row>
    <row r="99" spans="1:7" x14ac:dyDescent="0.2">
      <c r="A99" s="36"/>
      <c r="B99" s="36"/>
      <c r="C99" s="64"/>
      <c r="D99" s="36"/>
      <c r="E99" s="64"/>
      <c r="F99" s="64"/>
      <c r="G99" s="36"/>
    </row>
    <row r="100" spans="1:7" x14ac:dyDescent="0.2">
      <c r="A100" s="25" t="s">
        <v>659</v>
      </c>
      <c r="B100" s="34">
        <v>82738.559999999998</v>
      </c>
      <c r="C100" s="129" t="s">
        <v>833</v>
      </c>
      <c r="D100" s="130">
        <v>12543.2</v>
      </c>
      <c r="E100" s="62">
        <f>B100-D100</f>
        <v>70195.360000000001</v>
      </c>
      <c r="F100" s="58" t="s">
        <v>840</v>
      </c>
      <c r="G100" s="27"/>
    </row>
    <row r="101" spans="1:7" x14ac:dyDescent="0.2">
      <c r="A101" s="25"/>
      <c r="B101" s="34"/>
      <c r="C101" s="129"/>
      <c r="D101" s="130">
        <v>5136.3999999999996</v>
      </c>
      <c r="E101" s="62">
        <v>-5136.3999999999996</v>
      </c>
      <c r="F101" s="58"/>
      <c r="G101" s="27"/>
    </row>
    <row r="102" spans="1:7" x14ac:dyDescent="0.2">
      <c r="A102" s="99"/>
      <c r="B102" s="34"/>
      <c r="C102" s="129"/>
      <c r="D102" s="228"/>
      <c r="E102" s="62">
        <v>-65058.96</v>
      </c>
      <c r="F102" s="58" t="s">
        <v>914</v>
      </c>
      <c r="G102" s="27" t="s">
        <v>907</v>
      </c>
    </row>
    <row r="103" spans="1:7" ht="13.5" thickBot="1" x14ac:dyDescent="0.25">
      <c r="A103" s="103" t="s">
        <v>43</v>
      </c>
      <c r="B103" s="104">
        <f>SUM(B100:B102)</f>
        <v>82738.559999999998</v>
      </c>
      <c r="C103" s="56"/>
      <c r="D103" s="104">
        <f>SUM(D100:D102)</f>
        <v>17679.599999999999</v>
      </c>
      <c r="E103" s="56">
        <f>SUM(E100:E102)</f>
        <v>0</v>
      </c>
      <c r="F103" s="56"/>
      <c r="G103" s="105"/>
    </row>
    <row r="104" spans="1:7" ht="13.5" thickBot="1" x14ac:dyDescent="0.25"/>
    <row r="105" spans="1:7" ht="21" thickBot="1" x14ac:dyDescent="0.25">
      <c r="A105" s="550" t="s">
        <v>748</v>
      </c>
      <c r="B105" s="606"/>
      <c r="C105" s="606"/>
      <c r="D105" s="606"/>
      <c r="E105" s="606"/>
      <c r="F105" s="606"/>
      <c r="G105" s="607"/>
    </row>
    <row r="106" spans="1:7" ht="20.25" x14ac:dyDescent="0.3">
      <c r="A106" s="39"/>
      <c r="B106" s="13" t="s">
        <v>749</v>
      </c>
      <c r="C106" s="13" t="s">
        <v>750</v>
      </c>
      <c r="D106" s="13"/>
      <c r="E106" s="14"/>
      <c r="F106" s="14"/>
      <c r="G106" s="37"/>
    </row>
    <row r="107" spans="1:7" ht="20.25" x14ac:dyDescent="0.3">
      <c r="A107" s="39" t="s">
        <v>57</v>
      </c>
      <c r="B107" s="88">
        <v>45000</v>
      </c>
      <c r="C107" s="88">
        <v>45000</v>
      </c>
      <c r="D107" s="88"/>
      <c r="E107" s="14"/>
      <c r="F107" s="14"/>
      <c r="G107" s="37"/>
    </row>
    <row r="108" spans="1:7" ht="20.25" x14ac:dyDescent="0.3">
      <c r="A108" s="39" t="s">
        <v>36</v>
      </c>
      <c r="B108" s="88">
        <v>0</v>
      </c>
      <c r="C108" s="88">
        <v>0</v>
      </c>
      <c r="D108" s="88"/>
      <c r="E108" s="14"/>
      <c r="F108" s="14"/>
      <c r="G108" s="37"/>
    </row>
    <row r="109" spans="1:7" ht="20.25" x14ac:dyDescent="0.3">
      <c r="A109" s="39" t="s">
        <v>702</v>
      </c>
      <c r="B109" s="88">
        <f>SUM(B107:B108)</f>
        <v>45000</v>
      </c>
      <c r="C109" s="88">
        <f>SUM(C107:C108)</f>
        <v>45000</v>
      </c>
      <c r="D109" s="88"/>
      <c r="E109" s="47"/>
      <c r="F109" s="14"/>
      <c r="G109" s="37"/>
    </row>
    <row r="110" spans="1:7" ht="20.25" x14ac:dyDescent="0.3">
      <c r="A110" s="39" t="s">
        <v>47</v>
      </c>
      <c r="B110" s="88">
        <v>0</v>
      </c>
      <c r="C110" s="88">
        <v>0</v>
      </c>
      <c r="D110" s="88"/>
      <c r="E110" s="14"/>
      <c r="F110" s="14"/>
      <c r="G110" s="37"/>
    </row>
    <row r="111" spans="1:7" ht="20.25" x14ac:dyDescent="0.3">
      <c r="A111" s="39" t="s">
        <v>751</v>
      </c>
      <c r="B111" s="88">
        <f>B107+B110</f>
        <v>45000</v>
      </c>
      <c r="C111" s="88">
        <f>C107+C110</f>
        <v>45000</v>
      </c>
      <c r="D111" s="88"/>
      <c r="E111" s="47"/>
      <c r="F111" s="14"/>
      <c r="G111" s="37"/>
    </row>
    <row r="112" spans="1:7" ht="20.25" x14ac:dyDescent="0.3">
      <c r="A112" s="39" t="s">
        <v>39</v>
      </c>
      <c r="B112" s="88">
        <f>B109-D119</f>
        <v>0</v>
      </c>
      <c r="C112" s="88">
        <f>C109-D123</f>
        <v>37738.559999999998</v>
      </c>
      <c r="D112" s="88"/>
      <c r="E112" s="47"/>
      <c r="F112" s="14"/>
      <c r="G112" s="37"/>
    </row>
    <row r="113" spans="1:7" x14ac:dyDescent="0.2">
      <c r="A113" s="39" t="s">
        <v>35</v>
      </c>
      <c r="B113" s="90">
        <f>B111-D119-E119</f>
        <v>0</v>
      </c>
      <c r="C113" s="90">
        <f>C111-D123-E123</f>
        <v>0</v>
      </c>
      <c r="D113" s="126"/>
      <c r="E113" s="47"/>
      <c r="F113" s="139"/>
      <c r="G113" s="141"/>
    </row>
    <row r="114" spans="1:7" ht="21" thickBot="1" x14ac:dyDescent="0.35">
      <c r="A114" s="39"/>
      <c r="B114" s="13"/>
      <c r="C114" s="13"/>
      <c r="D114" s="13"/>
      <c r="E114" s="14"/>
      <c r="F114" s="14"/>
      <c r="G114" s="37"/>
    </row>
    <row r="115" spans="1:7" ht="38.25" x14ac:dyDescent="0.2">
      <c r="A115" s="19" t="s">
        <v>41</v>
      </c>
      <c r="B115" s="20" t="s">
        <v>64</v>
      </c>
      <c r="C115" s="20" t="s">
        <v>63</v>
      </c>
      <c r="D115" s="20" t="s">
        <v>37</v>
      </c>
      <c r="E115" s="20" t="s">
        <v>48</v>
      </c>
      <c r="F115" s="20" t="s">
        <v>40</v>
      </c>
      <c r="G115" s="21" t="s">
        <v>5</v>
      </c>
    </row>
    <row r="116" spans="1:7" x14ac:dyDescent="0.2">
      <c r="A116" s="98" t="s">
        <v>102</v>
      </c>
      <c r="B116" s="23">
        <v>45000</v>
      </c>
      <c r="C116" s="127" t="s">
        <v>758</v>
      </c>
      <c r="D116" s="57">
        <v>45000</v>
      </c>
      <c r="E116" s="57"/>
      <c r="F116" s="57" t="s">
        <v>1026</v>
      </c>
      <c r="G116" s="248" t="s">
        <v>1027</v>
      </c>
    </row>
    <row r="117" spans="1:7" x14ac:dyDescent="0.2">
      <c r="A117" s="100"/>
      <c r="B117" s="101"/>
      <c r="C117" s="165"/>
      <c r="D117" s="102"/>
      <c r="E117" s="102"/>
      <c r="F117" s="102"/>
      <c r="G117" s="133"/>
    </row>
    <row r="118" spans="1:7" x14ac:dyDescent="0.2">
      <c r="A118" s="128"/>
      <c r="B118" s="101"/>
      <c r="C118" s="165"/>
      <c r="D118" s="102"/>
      <c r="E118" s="102"/>
      <c r="F118" s="102"/>
      <c r="G118" s="249"/>
    </row>
    <row r="119" spans="1:7" x14ac:dyDescent="0.2">
      <c r="A119" s="25" t="s">
        <v>43</v>
      </c>
      <c r="B119" s="26">
        <f>SUM(B116:B118)</f>
        <v>45000</v>
      </c>
      <c r="C119" s="61"/>
      <c r="D119" s="34">
        <f>SUM(D116:D118)</f>
        <v>45000</v>
      </c>
      <c r="E119" s="61">
        <f>B119-D119</f>
        <v>0</v>
      </c>
      <c r="F119" s="60"/>
      <c r="G119" s="35"/>
    </row>
    <row r="120" spans="1:7" x14ac:dyDescent="0.2">
      <c r="A120" s="36"/>
      <c r="B120" s="36"/>
      <c r="C120" s="64"/>
      <c r="D120" s="36"/>
      <c r="E120" s="64"/>
      <c r="F120" s="64"/>
      <c r="G120" s="36"/>
    </row>
    <row r="121" spans="1:7" x14ac:dyDescent="0.2">
      <c r="A121" s="25" t="s">
        <v>659</v>
      </c>
      <c r="B121" s="34">
        <v>45000</v>
      </c>
      <c r="C121" s="129" t="s">
        <v>768</v>
      </c>
      <c r="D121" s="130">
        <v>7261.44</v>
      </c>
      <c r="E121" s="62">
        <f>B121-D121</f>
        <v>37738.559999999998</v>
      </c>
      <c r="F121" s="58" t="s">
        <v>769</v>
      </c>
      <c r="G121" s="27"/>
    </row>
    <row r="122" spans="1:7" x14ac:dyDescent="0.2">
      <c r="A122" s="99"/>
      <c r="B122" s="34"/>
      <c r="C122" s="129"/>
      <c r="D122" s="228"/>
      <c r="E122" s="62"/>
      <c r="F122" s="58"/>
      <c r="G122" s="27"/>
    </row>
    <row r="123" spans="1:7" ht="13.5" thickBot="1" x14ac:dyDescent="0.25">
      <c r="A123" s="103" t="s">
        <v>43</v>
      </c>
      <c r="B123" s="104">
        <f>SUM(B121:B122)</f>
        <v>45000</v>
      </c>
      <c r="C123" s="56"/>
      <c r="D123" s="104">
        <f>SUM(D121:D122)</f>
        <v>7261.44</v>
      </c>
      <c r="E123" s="56">
        <f>SUM(E121:E122)</f>
        <v>37738.559999999998</v>
      </c>
      <c r="F123" s="56"/>
      <c r="G123" s="105"/>
    </row>
    <row r="125" spans="1:7" ht="13.5" thickBot="1" x14ac:dyDescent="0.25"/>
    <row r="126" spans="1:7" ht="21" thickBot="1" x14ac:dyDescent="0.25">
      <c r="A126" s="550" t="s">
        <v>611</v>
      </c>
      <c r="B126" s="606"/>
      <c r="C126" s="606"/>
      <c r="D126" s="606"/>
      <c r="E126" s="606"/>
      <c r="F126" s="606"/>
      <c r="G126" s="607"/>
    </row>
    <row r="127" spans="1:7" ht="20.25" x14ac:dyDescent="0.3">
      <c r="A127" s="39"/>
      <c r="B127" s="13" t="s">
        <v>612</v>
      </c>
      <c r="C127" s="13" t="s">
        <v>613</v>
      </c>
      <c r="D127" s="13"/>
      <c r="E127" s="14"/>
      <c r="F127" s="14"/>
      <c r="G127" s="37"/>
    </row>
    <row r="128" spans="1:7" ht="20.25" x14ac:dyDescent="0.3">
      <c r="A128" s="39" t="s">
        <v>57</v>
      </c>
      <c r="B128" s="88">
        <v>52500</v>
      </c>
      <c r="C128" s="88">
        <v>52500</v>
      </c>
      <c r="D128" s="88"/>
      <c r="E128" s="14"/>
      <c r="F128" s="14"/>
      <c r="G128" s="37"/>
    </row>
    <row r="129" spans="1:7" ht="20.25" x14ac:dyDescent="0.3">
      <c r="A129" s="39" t="s">
        <v>36</v>
      </c>
      <c r="B129" s="88">
        <f>IF(B154&gt;22500,22500,B154)</f>
        <v>5000</v>
      </c>
      <c r="C129" s="88">
        <f>IF(C154&gt;22500,22500,C154)</f>
        <v>16712.5</v>
      </c>
      <c r="D129" s="88"/>
      <c r="E129" s="14"/>
      <c r="F129" s="14"/>
      <c r="G129" s="37"/>
    </row>
    <row r="130" spans="1:7" ht="20.25" x14ac:dyDescent="0.3">
      <c r="A130" s="39" t="s">
        <v>603</v>
      </c>
      <c r="B130" s="88">
        <f>SUM(B128:B129)</f>
        <v>57500</v>
      </c>
      <c r="C130" s="88">
        <f>SUM(C128:C129)</f>
        <v>69212.5</v>
      </c>
      <c r="D130" s="88"/>
      <c r="E130" s="47"/>
      <c r="F130" s="14"/>
      <c r="G130" s="37"/>
    </row>
    <row r="131" spans="1:7" ht="20.25" x14ac:dyDescent="0.3">
      <c r="A131" s="39" t="s">
        <v>47</v>
      </c>
      <c r="B131" s="88">
        <f>IF(B155&gt;22500,22500,B155)</f>
        <v>5000</v>
      </c>
      <c r="C131" s="88">
        <f>IF(C155&gt;22500,22500,C155)</f>
        <v>9.0000000003783498E-2</v>
      </c>
      <c r="D131" s="88"/>
      <c r="E131" s="14"/>
      <c r="F131" s="14"/>
      <c r="G131" s="37"/>
    </row>
    <row r="132" spans="1:7" ht="20.25" x14ac:dyDescent="0.3">
      <c r="A132" s="39" t="s">
        <v>614</v>
      </c>
      <c r="B132" s="88">
        <f>B128+B131</f>
        <v>57500</v>
      </c>
      <c r="C132" s="88">
        <f>C128+C131</f>
        <v>52500.090000000004</v>
      </c>
      <c r="D132" s="88"/>
      <c r="E132" s="47"/>
      <c r="F132" s="14"/>
      <c r="G132" s="37"/>
    </row>
    <row r="133" spans="1:7" ht="20.25" x14ac:dyDescent="0.3">
      <c r="A133" s="39" t="s">
        <v>39</v>
      </c>
      <c r="B133" s="88">
        <f>B130-D140</f>
        <v>0</v>
      </c>
      <c r="C133" s="88">
        <f>C130-D145</f>
        <v>16712.5</v>
      </c>
      <c r="D133" s="88"/>
      <c r="E133" s="47"/>
      <c r="F133" s="14"/>
      <c r="G133" s="37"/>
    </row>
    <row r="134" spans="1:7" x14ac:dyDescent="0.2">
      <c r="A134" s="39" t="s">
        <v>35</v>
      </c>
      <c r="B134" s="90">
        <f>B132-D140-E140</f>
        <v>0</v>
      </c>
      <c r="C134" s="90">
        <f>C132-D145-E145</f>
        <v>9.0000000003783498E-2</v>
      </c>
      <c r="D134" s="126"/>
      <c r="E134" s="47"/>
      <c r="F134" s="139"/>
      <c r="G134" s="141"/>
    </row>
    <row r="135" spans="1:7" ht="21" thickBot="1" x14ac:dyDescent="0.35">
      <c r="A135" s="39"/>
      <c r="B135" s="13"/>
      <c r="C135" s="13"/>
      <c r="D135" s="13"/>
      <c r="E135" s="14"/>
      <c r="F135" s="14"/>
      <c r="G135" s="37"/>
    </row>
    <row r="136" spans="1:7" ht="38.25" x14ac:dyDescent="0.2">
      <c r="A136" s="19" t="s">
        <v>41</v>
      </c>
      <c r="B136" s="20" t="s">
        <v>64</v>
      </c>
      <c r="C136" s="20" t="s">
        <v>63</v>
      </c>
      <c r="D136" s="20" t="s">
        <v>37</v>
      </c>
      <c r="E136" s="20" t="s">
        <v>48</v>
      </c>
      <c r="F136" s="20" t="s">
        <v>40</v>
      </c>
      <c r="G136" s="21" t="s">
        <v>5</v>
      </c>
    </row>
    <row r="137" spans="1:7" x14ac:dyDescent="0.2">
      <c r="A137" s="98" t="s">
        <v>102</v>
      </c>
      <c r="B137" s="23">
        <v>50000</v>
      </c>
      <c r="C137" s="127" t="s">
        <v>657</v>
      </c>
      <c r="D137" s="57">
        <v>50000</v>
      </c>
      <c r="E137" s="57"/>
      <c r="F137" s="57" t="s">
        <v>759</v>
      </c>
    </row>
    <row r="138" spans="1:7" x14ac:dyDescent="0.2">
      <c r="A138" s="100"/>
      <c r="B138" s="101">
        <v>7500</v>
      </c>
      <c r="C138" s="165" t="s">
        <v>686</v>
      </c>
      <c r="D138" s="102">
        <v>7500</v>
      </c>
      <c r="E138" s="102"/>
      <c r="F138" s="102" t="s">
        <v>759</v>
      </c>
      <c r="G138" s="133"/>
    </row>
    <row r="139" spans="1:7" x14ac:dyDescent="0.2">
      <c r="A139" s="128"/>
      <c r="B139" s="101"/>
      <c r="C139" s="165"/>
      <c r="D139" s="102"/>
      <c r="E139" s="102"/>
      <c r="F139" s="102"/>
    </row>
    <row r="140" spans="1:7" x14ac:dyDescent="0.2">
      <c r="A140" s="25" t="s">
        <v>43</v>
      </c>
      <c r="B140" s="26">
        <f>SUM(B137:B139)</f>
        <v>57500</v>
      </c>
      <c r="C140" s="61"/>
      <c r="D140" s="34">
        <f>SUM(D137:D139)</f>
        <v>57500</v>
      </c>
      <c r="E140" s="61">
        <f>B140-D140</f>
        <v>0</v>
      </c>
      <c r="F140" s="60"/>
      <c r="G140" s="35"/>
    </row>
    <row r="141" spans="1:7" x14ac:dyDescent="0.2">
      <c r="A141" s="36"/>
      <c r="B141" s="36"/>
      <c r="C141" s="64"/>
      <c r="D141" s="36"/>
      <c r="E141" s="64"/>
      <c r="F141" s="64"/>
      <c r="G141" s="36"/>
    </row>
    <row r="142" spans="1:7" x14ac:dyDescent="0.2">
      <c r="A142" s="25" t="s">
        <v>659</v>
      </c>
      <c r="B142" s="34">
        <v>45000</v>
      </c>
      <c r="C142" s="129" t="s">
        <v>658</v>
      </c>
      <c r="D142" s="130">
        <v>45000</v>
      </c>
      <c r="E142" s="62">
        <f>B142-D142</f>
        <v>0</v>
      </c>
      <c r="F142" s="58" t="s">
        <v>687</v>
      </c>
      <c r="G142" s="27"/>
    </row>
    <row r="143" spans="1:7" x14ac:dyDescent="0.2">
      <c r="A143" s="25"/>
      <c r="B143" s="34">
        <v>7500</v>
      </c>
      <c r="C143" s="129" t="s">
        <v>682</v>
      </c>
      <c r="D143" s="130">
        <v>7500</v>
      </c>
      <c r="E143" s="62"/>
      <c r="F143" s="58" t="s">
        <v>687</v>
      </c>
      <c r="G143" s="27"/>
    </row>
    <row r="144" spans="1:7" x14ac:dyDescent="0.2">
      <c r="A144" s="99"/>
      <c r="B144" s="34"/>
      <c r="C144" s="129"/>
      <c r="D144" s="228"/>
      <c r="E144" s="62"/>
      <c r="F144" s="58"/>
      <c r="G144" s="27"/>
    </row>
    <row r="145" spans="1:7" ht="13.5" thickBot="1" x14ac:dyDescent="0.25">
      <c r="A145" s="103" t="s">
        <v>43</v>
      </c>
      <c r="B145" s="104">
        <f>SUM(B142:B144)</f>
        <v>52500</v>
      </c>
      <c r="C145" s="56"/>
      <c r="D145" s="104">
        <f>SUM(D142:D144)</f>
        <v>52500</v>
      </c>
      <c r="E145" s="56">
        <f>SUM(E142:E144)</f>
        <v>0</v>
      </c>
      <c r="F145" s="56"/>
      <c r="G145" s="105"/>
    </row>
    <row r="146" spans="1:7" ht="13.5" thickBot="1" x14ac:dyDescent="0.25"/>
    <row r="147" spans="1:7" ht="21" thickBot="1" x14ac:dyDescent="0.25">
      <c r="A147" s="550" t="s">
        <v>480</v>
      </c>
      <c r="B147" s="606"/>
      <c r="C147" s="606"/>
      <c r="D147" s="606"/>
      <c r="E147" s="606"/>
      <c r="F147" s="606"/>
      <c r="G147" s="607"/>
    </row>
    <row r="148" spans="1:7" ht="20.25" x14ac:dyDescent="0.3">
      <c r="A148" s="39"/>
      <c r="B148" s="13" t="s">
        <v>481</v>
      </c>
      <c r="C148" s="13" t="s">
        <v>482</v>
      </c>
      <c r="D148" s="13"/>
      <c r="E148" s="14"/>
      <c r="F148" s="14"/>
      <c r="G148" s="37"/>
    </row>
    <row r="149" spans="1:7" ht="20.25" x14ac:dyDescent="0.3">
      <c r="A149" s="39" t="s">
        <v>57</v>
      </c>
      <c r="B149" s="88">
        <v>45000</v>
      </c>
      <c r="C149" s="88">
        <v>45000</v>
      </c>
      <c r="D149" s="88"/>
      <c r="E149" s="14"/>
      <c r="F149" s="14"/>
      <c r="G149" s="37"/>
    </row>
    <row r="150" spans="1:7" ht="20.25" x14ac:dyDescent="0.3">
      <c r="A150" s="39" t="s">
        <v>36</v>
      </c>
      <c r="B150" s="88">
        <f>IF(B174&gt;20000,20000,B174)</f>
        <v>20000</v>
      </c>
      <c r="C150" s="88">
        <f>IF(C174&gt;20000,20000,C174)</f>
        <v>20000</v>
      </c>
      <c r="D150" s="88"/>
      <c r="E150" s="14"/>
      <c r="F150" s="14"/>
      <c r="G150" s="37"/>
    </row>
    <row r="151" spans="1:7" ht="20.25" x14ac:dyDescent="0.3">
      <c r="A151" s="39" t="s">
        <v>475</v>
      </c>
      <c r="B151" s="88">
        <f>SUM(B149:B150)</f>
        <v>65000</v>
      </c>
      <c r="C151" s="88">
        <f>SUM(C149:C150)</f>
        <v>65000</v>
      </c>
      <c r="D151" s="88"/>
      <c r="E151" s="47"/>
      <c r="F151" s="14"/>
      <c r="G151" s="37"/>
    </row>
    <row r="152" spans="1:7" ht="20.25" x14ac:dyDescent="0.3">
      <c r="A152" s="39" t="s">
        <v>47</v>
      </c>
      <c r="B152" s="88">
        <f>IF(B175&gt;20000,20000,B175)</f>
        <v>20000</v>
      </c>
      <c r="C152" s="88">
        <f>IF(C175&gt;20000,20000,C175)</f>
        <v>3287.5900000000038</v>
      </c>
      <c r="D152" s="88"/>
      <c r="E152" s="14"/>
      <c r="F152" s="14"/>
      <c r="G152" s="37"/>
    </row>
    <row r="153" spans="1:7" ht="20.25" x14ac:dyDescent="0.3">
      <c r="A153" s="39" t="s">
        <v>483</v>
      </c>
      <c r="B153" s="88">
        <f>B149+B152</f>
        <v>65000</v>
      </c>
      <c r="C153" s="88">
        <f>C149+C152</f>
        <v>48287.590000000004</v>
      </c>
      <c r="D153" s="88"/>
      <c r="E153" s="47"/>
      <c r="F153" s="14"/>
      <c r="G153" s="37"/>
    </row>
    <row r="154" spans="1:7" ht="20.25" x14ac:dyDescent="0.3">
      <c r="A154" s="39" t="s">
        <v>39</v>
      </c>
      <c r="B154" s="88">
        <f>B151-D161</f>
        <v>5000</v>
      </c>
      <c r="C154" s="88">
        <f>C151-D165</f>
        <v>16712.5</v>
      </c>
      <c r="D154" s="88"/>
      <c r="E154" s="47"/>
      <c r="F154" s="14"/>
      <c r="G154" s="37"/>
    </row>
    <row r="155" spans="1:7" x14ac:dyDescent="0.2">
      <c r="A155" s="39" t="s">
        <v>35</v>
      </c>
      <c r="B155" s="90">
        <f>B153-D161-E161</f>
        <v>5000</v>
      </c>
      <c r="C155" s="90">
        <f>C153-D165-E165</f>
        <v>9.0000000003783498E-2</v>
      </c>
      <c r="D155" s="126"/>
      <c r="E155" s="47"/>
      <c r="F155" s="139"/>
      <c r="G155" s="141"/>
    </row>
    <row r="156" spans="1:7" ht="21" thickBot="1" x14ac:dyDescent="0.35">
      <c r="A156" s="39"/>
      <c r="B156" s="13"/>
      <c r="C156" s="13"/>
      <c r="D156" s="13"/>
      <c r="E156" s="14"/>
      <c r="F156" s="14"/>
      <c r="G156" s="37"/>
    </row>
    <row r="157" spans="1:7" ht="38.25" x14ac:dyDescent="0.2">
      <c r="A157" s="19" t="s">
        <v>41</v>
      </c>
      <c r="B157" s="20" t="s">
        <v>64</v>
      </c>
      <c r="C157" s="20" t="s">
        <v>63</v>
      </c>
      <c r="D157" s="20" t="s">
        <v>37</v>
      </c>
      <c r="E157" s="20" t="s">
        <v>48</v>
      </c>
      <c r="F157" s="20" t="s">
        <v>40</v>
      </c>
      <c r="G157" s="21" t="s">
        <v>5</v>
      </c>
    </row>
    <row r="158" spans="1:7" x14ac:dyDescent="0.2">
      <c r="A158" s="98" t="s">
        <v>102</v>
      </c>
      <c r="B158" s="23"/>
      <c r="C158" s="127"/>
      <c r="D158" s="57"/>
      <c r="E158" s="57"/>
      <c r="F158" s="57"/>
    </row>
    <row r="159" spans="1:7" x14ac:dyDescent="0.2">
      <c r="A159" s="100"/>
      <c r="B159" s="101">
        <v>40000</v>
      </c>
      <c r="C159" s="165" t="s">
        <v>538</v>
      </c>
      <c r="D159" s="102"/>
      <c r="E159" s="102"/>
      <c r="F159" s="102"/>
      <c r="G159" s="133" t="s">
        <v>537</v>
      </c>
    </row>
    <row r="160" spans="1:7" x14ac:dyDescent="0.2">
      <c r="A160" s="128"/>
      <c r="B160" s="101">
        <v>20000</v>
      </c>
      <c r="C160" s="165" t="s">
        <v>598</v>
      </c>
      <c r="D160" s="102"/>
      <c r="E160" s="102"/>
      <c r="F160" s="102"/>
      <c r="G160" t="s">
        <v>594</v>
      </c>
    </row>
    <row r="161" spans="1:7" x14ac:dyDescent="0.2">
      <c r="A161" s="25" t="s">
        <v>43</v>
      </c>
      <c r="B161" s="26">
        <f>SUM(B158:B160)</f>
        <v>60000</v>
      </c>
      <c r="C161" s="61"/>
      <c r="D161" s="34">
        <v>60000</v>
      </c>
      <c r="E161" s="58">
        <f>B161-D161</f>
        <v>0</v>
      </c>
      <c r="F161" s="58" t="s">
        <v>626</v>
      </c>
      <c r="G161" s="35"/>
    </row>
    <row r="162" spans="1:7" x14ac:dyDescent="0.2">
      <c r="A162" s="36"/>
      <c r="B162" s="36"/>
      <c r="C162" s="64"/>
      <c r="D162" s="36"/>
      <c r="E162" s="64"/>
      <c r="F162" s="64"/>
      <c r="G162" s="36"/>
    </row>
    <row r="163" spans="1:7" x14ac:dyDescent="0.2">
      <c r="A163" s="99" t="s">
        <v>103</v>
      </c>
      <c r="B163" s="34">
        <v>48287.5</v>
      </c>
      <c r="C163" s="129" t="s">
        <v>494</v>
      </c>
      <c r="D163" s="130">
        <f>B163</f>
        <v>48287.5</v>
      </c>
      <c r="E163" s="62">
        <f>B163-D163</f>
        <v>0</v>
      </c>
      <c r="F163" s="58" t="s">
        <v>588</v>
      </c>
      <c r="G163" s="27" t="s">
        <v>495</v>
      </c>
    </row>
    <row r="164" spans="1:7" x14ac:dyDescent="0.2">
      <c r="A164" s="99"/>
      <c r="B164" s="34"/>
      <c r="C164" s="129"/>
      <c r="D164" s="55"/>
      <c r="E164" s="62"/>
      <c r="F164" s="58"/>
      <c r="G164" s="27"/>
    </row>
    <row r="165" spans="1:7" ht="13.5" thickBot="1" x14ac:dyDescent="0.25">
      <c r="A165" s="103" t="s">
        <v>43</v>
      </c>
      <c r="B165" s="104">
        <f>SUM(B163:B164)</f>
        <v>48287.5</v>
      </c>
      <c r="C165" s="56"/>
      <c r="D165" s="104">
        <f>SUM(D163:D164)</f>
        <v>48287.5</v>
      </c>
      <c r="E165" s="56">
        <f>SUM(E163:E164)</f>
        <v>0</v>
      </c>
      <c r="F165" s="56"/>
      <c r="G165" s="105"/>
    </row>
    <row r="167" spans="1:7" ht="13.5" thickBot="1" x14ac:dyDescent="0.25"/>
    <row r="168" spans="1:7" ht="21" thickBot="1" x14ac:dyDescent="0.25">
      <c r="A168" s="550" t="s">
        <v>333</v>
      </c>
      <c r="B168" s="606"/>
      <c r="C168" s="606"/>
      <c r="D168" s="606"/>
      <c r="E168" s="606"/>
      <c r="F168" s="606"/>
      <c r="G168" s="607"/>
    </row>
    <row r="169" spans="1:7" ht="20.25" x14ac:dyDescent="0.3">
      <c r="A169" s="39"/>
      <c r="B169" s="13" t="s">
        <v>334</v>
      </c>
      <c r="C169" s="13" t="s">
        <v>335</v>
      </c>
      <c r="D169" s="13"/>
      <c r="E169" s="14"/>
      <c r="F169" s="14"/>
      <c r="G169" s="37"/>
    </row>
    <row r="170" spans="1:7" ht="20.25" x14ac:dyDescent="0.3">
      <c r="A170" s="39" t="s">
        <v>57</v>
      </c>
      <c r="B170" s="88">
        <v>45000</v>
      </c>
      <c r="C170" s="88">
        <v>45000</v>
      </c>
      <c r="D170" s="88"/>
      <c r="E170" s="14"/>
      <c r="F170" s="14"/>
      <c r="G170" s="37"/>
    </row>
    <row r="171" spans="1:7" ht="20.25" x14ac:dyDescent="0.3">
      <c r="A171" s="39" t="s">
        <v>36</v>
      </c>
      <c r="B171" s="88">
        <f>IF(B196&gt;20000,20000,B196)</f>
        <v>20000</v>
      </c>
      <c r="C171" s="88">
        <f>IF(C196&gt;20000,20000,C196)</f>
        <v>20000</v>
      </c>
      <c r="D171" s="88"/>
      <c r="E171" s="14"/>
      <c r="F171" s="14"/>
      <c r="G171" s="37"/>
    </row>
    <row r="172" spans="1:7" ht="20.25" x14ac:dyDescent="0.3">
      <c r="A172" s="39" t="s">
        <v>325</v>
      </c>
      <c r="B172" s="88">
        <f>SUM(B170:B171)</f>
        <v>65000</v>
      </c>
      <c r="C172" s="88">
        <f>SUM(C170:C171)</f>
        <v>65000</v>
      </c>
      <c r="D172" s="88"/>
      <c r="E172" s="47"/>
      <c r="F172" s="14"/>
      <c r="G172" s="37"/>
    </row>
    <row r="173" spans="1:7" ht="20.25" x14ac:dyDescent="0.3">
      <c r="A173" s="39" t="s">
        <v>47</v>
      </c>
      <c r="B173" s="88">
        <f>IF(B197&gt;20000,20000,B197)</f>
        <v>20000</v>
      </c>
      <c r="C173" s="88">
        <f>IF(C197&gt;20000,20000,C197)</f>
        <v>20000</v>
      </c>
      <c r="D173" s="88"/>
      <c r="E173" s="14"/>
      <c r="F173" s="14"/>
      <c r="G173" s="37"/>
    </row>
    <row r="174" spans="1:7" ht="20.25" x14ac:dyDescent="0.3">
      <c r="A174" s="39" t="s">
        <v>336</v>
      </c>
      <c r="B174" s="88">
        <f>B170+B173</f>
        <v>65000</v>
      </c>
      <c r="C174" s="88">
        <f>C170+C173</f>
        <v>65000</v>
      </c>
      <c r="D174" s="88"/>
      <c r="E174" s="47"/>
      <c r="F174" s="14"/>
      <c r="G174" s="37"/>
    </row>
    <row r="175" spans="1:7" ht="20.25" x14ac:dyDescent="0.3">
      <c r="A175" s="39" t="s">
        <v>39</v>
      </c>
      <c r="B175" s="88">
        <f>B172-D182</f>
        <v>42592.34</v>
      </c>
      <c r="C175" s="88">
        <f>C172-D187</f>
        <v>3287.5900000000038</v>
      </c>
      <c r="D175" s="88"/>
      <c r="E175" s="47"/>
      <c r="F175" s="14"/>
      <c r="G175" s="37"/>
    </row>
    <row r="176" spans="1:7" x14ac:dyDescent="0.2">
      <c r="A176" s="39" t="s">
        <v>35</v>
      </c>
      <c r="B176" s="90">
        <f>B174-D182-E182</f>
        <v>40000</v>
      </c>
      <c r="C176" s="90">
        <f>C174-D187-E187</f>
        <v>3287.5900000000038</v>
      </c>
      <c r="D176" s="126"/>
      <c r="E176" s="47"/>
      <c r="F176" s="139"/>
      <c r="G176" s="141"/>
    </row>
    <row r="177" spans="1:7" ht="21" thickBot="1" x14ac:dyDescent="0.35">
      <c r="A177" s="39"/>
      <c r="B177" s="13"/>
      <c r="C177" s="13"/>
      <c r="D177" s="13"/>
      <c r="E177" s="14"/>
      <c r="F177" s="14"/>
      <c r="G177" s="37"/>
    </row>
    <row r="178" spans="1:7" ht="38.25" x14ac:dyDescent="0.2">
      <c r="A178" s="19" t="s">
        <v>41</v>
      </c>
      <c r="B178" s="20" t="s">
        <v>64</v>
      </c>
      <c r="C178" s="20" t="s">
        <v>63</v>
      </c>
      <c r="D178" s="20" t="s">
        <v>37</v>
      </c>
      <c r="E178" s="20" t="s">
        <v>48</v>
      </c>
      <c r="F178" s="20" t="s">
        <v>40</v>
      </c>
      <c r="G178" s="21" t="s">
        <v>5</v>
      </c>
    </row>
    <row r="179" spans="1:7" x14ac:dyDescent="0.2">
      <c r="A179" s="98" t="s">
        <v>102</v>
      </c>
      <c r="B179" s="23">
        <v>25000</v>
      </c>
      <c r="C179" s="127" t="s">
        <v>427</v>
      </c>
      <c r="D179" s="57">
        <v>22407.66</v>
      </c>
      <c r="E179" s="57">
        <f>B179-D179</f>
        <v>2592.34</v>
      </c>
      <c r="F179" s="57" t="s">
        <v>445</v>
      </c>
      <c r="G179" s="133" t="s">
        <v>425</v>
      </c>
    </row>
    <row r="180" spans="1:7" x14ac:dyDescent="0.2">
      <c r="A180" s="100"/>
      <c r="B180" s="101"/>
      <c r="C180" s="165"/>
      <c r="D180" s="102"/>
      <c r="E180" s="102"/>
      <c r="F180" s="102"/>
      <c r="G180" s="203"/>
    </row>
    <row r="181" spans="1:7" x14ac:dyDescent="0.2">
      <c r="A181" s="128"/>
      <c r="B181" s="101"/>
      <c r="C181" s="102"/>
      <c r="D181" s="102"/>
      <c r="E181" s="102"/>
      <c r="F181" s="102"/>
    </row>
    <row r="182" spans="1:7" x14ac:dyDescent="0.2">
      <c r="A182" s="25" t="s">
        <v>43</v>
      </c>
      <c r="B182" s="26">
        <f>SUM(B179:B181)</f>
        <v>25000</v>
      </c>
      <c r="C182" s="61"/>
      <c r="D182" s="34">
        <f>SUM(D179:D181)</f>
        <v>22407.66</v>
      </c>
      <c r="E182" s="61">
        <f>E179-D180</f>
        <v>2592.34</v>
      </c>
      <c r="F182" s="60"/>
      <c r="G182" s="35"/>
    </row>
    <row r="183" spans="1:7" x14ac:dyDescent="0.2">
      <c r="A183" s="36"/>
      <c r="B183" s="36"/>
      <c r="C183" s="64"/>
      <c r="D183" s="36"/>
      <c r="E183" s="64"/>
      <c r="F183" s="64"/>
      <c r="G183" s="36"/>
    </row>
    <row r="184" spans="1:7" x14ac:dyDescent="0.2">
      <c r="A184" s="99" t="s">
        <v>103</v>
      </c>
      <c r="B184" s="34">
        <v>65000</v>
      </c>
      <c r="C184" s="129" t="s">
        <v>380</v>
      </c>
      <c r="D184" s="130">
        <v>36547.379999999997</v>
      </c>
      <c r="E184" s="62"/>
      <c r="F184" s="58" t="s">
        <v>431</v>
      </c>
      <c r="G184" s="27" t="s">
        <v>376</v>
      </c>
    </row>
    <row r="185" spans="1:7" x14ac:dyDescent="0.2">
      <c r="A185" s="99"/>
      <c r="B185" s="34"/>
      <c r="C185" s="129"/>
      <c r="D185" s="130">
        <v>25165.03</v>
      </c>
      <c r="E185" s="62">
        <v>3287.59</v>
      </c>
      <c r="F185" s="562" t="s">
        <v>524</v>
      </c>
      <c r="G185" s="27" t="s">
        <v>525</v>
      </c>
    </row>
    <row r="186" spans="1:7" x14ac:dyDescent="0.2">
      <c r="A186" s="99"/>
      <c r="B186" s="34"/>
      <c r="C186" s="129"/>
      <c r="D186" s="55"/>
      <c r="E186" s="62">
        <v>-3287.59</v>
      </c>
      <c r="F186" s="564"/>
      <c r="G186" s="27" t="s">
        <v>526</v>
      </c>
    </row>
    <row r="187" spans="1:7" ht="13.5" thickBot="1" x14ac:dyDescent="0.25">
      <c r="A187" s="103" t="s">
        <v>43</v>
      </c>
      <c r="B187" s="104">
        <f>SUM(B184:B186)</f>
        <v>65000</v>
      </c>
      <c r="C187" s="56"/>
      <c r="D187" s="104">
        <f>SUM(D184:D186)</f>
        <v>61712.409999999996</v>
      </c>
      <c r="E187" s="56">
        <f>SUM(E184:E186)</f>
        <v>0</v>
      </c>
      <c r="F187" s="56"/>
      <c r="G187" s="105"/>
    </row>
    <row r="188" spans="1:7" ht="13.5" thickBot="1" x14ac:dyDescent="0.25"/>
    <row r="189" spans="1:7" ht="21" thickBot="1" x14ac:dyDescent="0.25">
      <c r="A189" s="550" t="s">
        <v>220</v>
      </c>
      <c r="B189" s="606"/>
      <c r="C189" s="606"/>
      <c r="D189" s="606"/>
      <c r="E189" s="606"/>
      <c r="F189" s="606"/>
      <c r="G189" s="607"/>
    </row>
    <row r="190" spans="1:7" ht="20.25" x14ac:dyDescent="0.3">
      <c r="A190" s="39"/>
      <c r="B190" s="13" t="s">
        <v>221</v>
      </c>
      <c r="C190" s="13" t="s">
        <v>222</v>
      </c>
      <c r="D190" s="13"/>
      <c r="E190" s="14"/>
      <c r="F190" s="14"/>
      <c r="G190" s="37"/>
    </row>
    <row r="191" spans="1:7" ht="20.25" x14ac:dyDescent="0.3">
      <c r="A191" s="39" t="s">
        <v>57</v>
      </c>
      <c r="B191" s="88">
        <v>40000</v>
      </c>
      <c r="C191" s="88">
        <v>40000</v>
      </c>
      <c r="D191" s="88"/>
      <c r="E191" s="14"/>
      <c r="F191" s="14"/>
      <c r="G191" s="37"/>
    </row>
    <row r="192" spans="1:7" ht="20.25" x14ac:dyDescent="0.3">
      <c r="A192" s="39" t="s">
        <v>36</v>
      </c>
      <c r="B192" s="88">
        <f>IF(B216&gt;20000,20000,B216)</f>
        <v>20000</v>
      </c>
      <c r="C192" s="88">
        <f>IF(C216&gt;20000,20000,C216)</f>
        <v>20000</v>
      </c>
      <c r="D192" s="88"/>
      <c r="E192" s="14"/>
      <c r="F192" s="14"/>
      <c r="G192" s="37"/>
    </row>
    <row r="193" spans="1:7" ht="20.25" x14ac:dyDescent="0.3">
      <c r="A193" s="39" t="s">
        <v>211</v>
      </c>
      <c r="B193" s="88">
        <f>SUM(B191:B192)</f>
        <v>60000</v>
      </c>
      <c r="C193" s="88">
        <f>SUM(C191:C192)</f>
        <v>60000</v>
      </c>
      <c r="D193" s="88"/>
      <c r="E193" s="47"/>
      <c r="F193" s="14"/>
      <c r="G193" s="37"/>
    </row>
    <row r="194" spans="1:7" ht="20.25" x14ac:dyDescent="0.3">
      <c r="A194" s="39" t="s">
        <v>47</v>
      </c>
      <c r="B194" s="88">
        <f>IF(B217&gt;20000,20000,B217)</f>
        <v>20000</v>
      </c>
      <c r="C194" s="88">
        <f>IF(C217&gt;20000,20000,C217)</f>
        <v>20000</v>
      </c>
      <c r="D194" s="88"/>
      <c r="E194" s="14"/>
      <c r="F194" s="14"/>
      <c r="G194" s="37"/>
    </row>
    <row r="195" spans="1:7" ht="20.25" x14ac:dyDescent="0.3">
      <c r="A195" s="39" t="s">
        <v>223</v>
      </c>
      <c r="B195" s="88">
        <f>B191+B194</f>
        <v>60000</v>
      </c>
      <c r="C195" s="88">
        <f>C191+C194</f>
        <v>60000</v>
      </c>
      <c r="D195" s="88"/>
      <c r="E195" s="47"/>
      <c r="F195" s="14"/>
      <c r="G195" s="37"/>
    </row>
    <row r="196" spans="1:7" ht="20.25" x14ac:dyDescent="0.3">
      <c r="A196" s="39" t="s">
        <v>39</v>
      </c>
      <c r="B196" s="88">
        <f>B193-D202</f>
        <v>60000</v>
      </c>
      <c r="C196" s="88">
        <f>C193-D206</f>
        <v>55920</v>
      </c>
      <c r="D196" s="88"/>
      <c r="E196" s="47"/>
      <c r="F196" s="14"/>
      <c r="G196" s="37"/>
    </row>
    <row r="197" spans="1:7" x14ac:dyDescent="0.2">
      <c r="A197" s="39" t="s">
        <v>35</v>
      </c>
      <c r="B197" s="90">
        <f>B195-D202-E202</f>
        <v>60000</v>
      </c>
      <c r="C197" s="90">
        <f>C195-D206-E206</f>
        <v>55920</v>
      </c>
      <c r="D197" s="126"/>
      <c r="E197" s="47"/>
      <c r="F197" s="139"/>
      <c r="G197" s="141"/>
    </row>
    <row r="198" spans="1:7" ht="21" thickBot="1" x14ac:dyDescent="0.35">
      <c r="A198" s="39"/>
      <c r="B198" s="13"/>
      <c r="C198" s="13"/>
      <c r="D198" s="13"/>
      <c r="E198" s="14"/>
      <c r="F198" s="14"/>
      <c r="G198" s="37"/>
    </row>
    <row r="199" spans="1:7" ht="38.25" x14ac:dyDescent="0.2">
      <c r="A199" s="19" t="s">
        <v>41</v>
      </c>
      <c r="B199" s="20" t="s">
        <v>64</v>
      </c>
      <c r="C199" s="20" t="s">
        <v>63</v>
      </c>
      <c r="D199" s="20" t="s">
        <v>37</v>
      </c>
      <c r="E199" s="20" t="s">
        <v>48</v>
      </c>
      <c r="F199" s="20" t="s">
        <v>40</v>
      </c>
      <c r="G199" s="21" t="s">
        <v>5</v>
      </c>
    </row>
    <row r="200" spans="1:7" x14ac:dyDescent="0.2">
      <c r="A200" s="98" t="s">
        <v>102</v>
      </c>
      <c r="B200" s="23"/>
      <c r="C200" s="127"/>
      <c r="D200" s="57"/>
      <c r="E200" s="57"/>
      <c r="F200" s="57"/>
      <c r="G200" s="133" t="s">
        <v>224</v>
      </c>
    </row>
    <row r="201" spans="1:7" x14ac:dyDescent="0.2">
      <c r="A201" s="128"/>
      <c r="B201" s="101"/>
      <c r="C201" s="102"/>
      <c r="D201" s="102"/>
      <c r="E201" s="102"/>
      <c r="F201" s="102"/>
    </row>
    <row r="202" spans="1:7" x14ac:dyDescent="0.2">
      <c r="A202" s="25" t="s">
        <v>43</v>
      </c>
      <c r="B202" s="26">
        <f>SUM(B200:B201)</f>
        <v>0</v>
      </c>
      <c r="C202" s="61"/>
      <c r="D202" s="34">
        <f>SUM(D200:D201)</f>
        <v>0</v>
      </c>
      <c r="E202" s="61">
        <f>E200</f>
        <v>0</v>
      </c>
      <c r="F202" s="60"/>
      <c r="G202" s="35"/>
    </row>
    <row r="203" spans="1:7" x14ac:dyDescent="0.2">
      <c r="A203" s="36"/>
      <c r="B203" s="36"/>
      <c r="C203" s="64"/>
      <c r="D203" s="36"/>
      <c r="E203" s="64"/>
      <c r="F203" s="64"/>
      <c r="G203" s="36"/>
    </row>
    <row r="204" spans="1:7" x14ac:dyDescent="0.2">
      <c r="A204" s="99" t="s">
        <v>103</v>
      </c>
      <c r="B204" s="34">
        <v>4080</v>
      </c>
      <c r="C204" s="129" t="s">
        <v>344</v>
      </c>
      <c r="D204" s="130">
        <v>4080</v>
      </c>
      <c r="E204" s="62">
        <f>B204-D204</f>
        <v>0</v>
      </c>
      <c r="F204" s="58" t="s">
        <v>360</v>
      </c>
      <c r="G204" s="27" t="s">
        <v>343</v>
      </c>
    </row>
    <row r="205" spans="1:7" x14ac:dyDescent="0.2">
      <c r="A205" s="99"/>
      <c r="B205" s="34"/>
      <c r="C205" s="129"/>
      <c r="D205" s="55"/>
      <c r="E205" s="62"/>
      <c r="F205" s="58"/>
      <c r="G205" s="27"/>
    </row>
    <row r="206" spans="1:7" ht="13.5" thickBot="1" x14ac:dyDescent="0.25">
      <c r="A206" s="103" t="s">
        <v>43</v>
      </c>
      <c r="B206" s="104">
        <f>SUM(B204:B205)</f>
        <v>4080</v>
      </c>
      <c r="C206" s="56"/>
      <c r="D206" s="104">
        <f>SUM(D204:D205)</f>
        <v>4080</v>
      </c>
      <c r="E206" s="56">
        <f>SUM(E204:E205)</f>
        <v>0</v>
      </c>
      <c r="F206" s="56"/>
      <c r="G206" s="105"/>
    </row>
    <row r="208" spans="1:7" ht="13.5" thickBot="1" x14ac:dyDescent="0.25"/>
    <row r="209" spans="1:7" ht="21" thickBot="1" x14ac:dyDescent="0.25">
      <c r="A209" s="550" t="s">
        <v>129</v>
      </c>
      <c r="B209" s="606"/>
      <c r="C209" s="606"/>
      <c r="D209" s="606"/>
      <c r="E209" s="606"/>
      <c r="F209" s="606"/>
      <c r="G209" s="607"/>
    </row>
    <row r="210" spans="1:7" ht="20.25" x14ac:dyDescent="0.3">
      <c r="A210" s="39"/>
      <c r="B210" s="13" t="s">
        <v>130</v>
      </c>
      <c r="C210" s="13" t="s">
        <v>131</v>
      </c>
      <c r="D210" s="13"/>
      <c r="E210" s="14"/>
      <c r="F210" s="14"/>
      <c r="G210" s="37"/>
    </row>
    <row r="211" spans="1:7" ht="20.25" x14ac:dyDescent="0.3">
      <c r="A211" s="39" t="s">
        <v>57</v>
      </c>
      <c r="B211" s="88">
        <v>40000</v>
      </c>
      <c r="C211" s="88">
        <v>40000</v>
      </c>
      <c r="D211" s="88"/>
      <c r="E211" s="14"/>
      <c r="F211" s="14"/>
      <c r="G211" s="37"/>
    </row>
    <row r="212" spans="1:7" ht="20.25" x14ac:dyDescent="0.3">
      <c r="A212" s="39" t="s">
        <v>36</v>
      </c>
      <c r="B212" s="88">
        <v>20000</v>
      </c>
      <c r="C212" s="88">
        <v>20000</v>
      </c>
      <c r="D212" s="88"/>
      <c r="E212" s="14"/>
      <c r="F212" s="14"/>
      <c r="G212" s="37"/>
    </row>
    <row r="213" spans="1:7" ht="20.25" x14ac:dyDescent="0.3">
      <c r="A213" s="39" t="s">
        <v>121</v>
      </c>
      <c r="B213" s="88">
        <f>SUM(B211:B212)</f>
        <v>60000</v>
      </c>
      <c r="C213" s="88">
        <f>SUM(C211:C212)</f>
        <v>60000</v>
      </c>
      <c r="D213" s="88"/>
      <c r="E213" s="47"/>
      <c r="F213" s="14"/>
      <c r="G213" s="37"/>
    </row>
    <row r="214" spans="1:7" ht="20.25" x14ac:dyDescent="0.3">
      <c r="A214" s="39" t="s">
        <v>47</v>
      </c>
      <c r="B214" s="88">
        <v>20000</v>
      </c>
      <c r="C214" s="88">
        <v>20000</v>
      </c>
      <c r="D214" s="88"/>
      <c r="E214" s="14"/>
      <c r="F214" s="14"/>
      <c r="G214" s="37"/>
    </row>
    <row r="215" spans="1:7" ht="20.25" x14ac:dyDescent="0.3">
      <c r="A215" s="39" t="s">
        <v>122</v>
      </c>
      <c r="B215" s="88">
        <f>B211+B214</f>
        <v>60000</v>
      </c>
      <c r="C215" s="88">
        <f>C211+C214</f>
        <v>60000</v>
      </c>
      <c r="D215" s="88"/>
      <c r="E215" s="47"/>
      <c r="F215" s="14"/>
      <c r="G215" s="37"/>
    </row>
    <row r="216" spans="1:7" ht="20.25" x14ac:dyDescent="0.3">
      <c r="A216" s="39" t="s">
        <v>39</v>
      </c>
      <c r="B216" s="88">
        <f>B213-D222</f>
        <v>35000</v>
      </c>
      <c r="C216" s="88">
        <f>C213-D226</f>
        <v>20000</v>
      </c>
      <c r="D216" s="88"/>
      <c r="E216" s="47"/>
      <c r="F216" s="14"/>
      <c r="G216" s="37"/>
    </row>
    <row r="217" spans="1:7" x14ac:dyDescent="0.2">
      <c r="A217" s="39" t="s">
        <v>35</v>
      </c>
      <c r="B217" s="90">
        <f>B215-D222-E222</f>
        <v>35000</v>
      </c>
      <c r="C217" s="90">
        <f>C215-D226-E226</f>
        <v>20000</v>
      </c>
      <c r="D217" s="126"/>
      <c r="E217" s="47"/>
      <c r="F217" s="139"/>
      <c r="G217" s="141"/>
    </row>
    <row r="218" spans="1:7" ht="21" thickBot="1" x14ac:dyDescent="0.35">
      <c r="A218" s="39"/>
      <c r="B218" s="13"/>
      <c r="C218" s="13"/>
      <c r="D218" s="13"/>
      <c r="E218" s="14"/>
      <c r="F218" s="14"/>
      <c r="G218" s="37"/>
    </row>
    <row r="219" spans="1:7" ht="38.25" x14ac:dyDescent="0.2">
      <c r="A219" s="19" t="s">
        <v>41</v>
      </c>
      <c r="B219" s="20" t="s">
        <v>64</v>
      </c>
      <c r="C219" s="20" t="s">
        <v>63</v>
      </c>
      <c r="D219" s="20" t="s">
        <v>37</v>
      </c>
      <c r="E219" s="20" t="s">
        <v>48</v>
      </c>
      <c r="F219" s="20" t="s">
        <v>40</v>
      </c>
      <c r="G219" s="21" t="s">
        <v>5</v>
      </c>
    </row>
    <row r="220" spans="1:7" x14ac:dyDescent="0.2">
      <c r="A220" s="98" t="s">
        <v>102</v>
      </c>
      <c r="B220" s="23">
        <v>25000</v>
      </c>
      <c r="C220" s="127" t="s">
        <v>145</v>
      </c>
      <c r="D220" s="57">
        <v>16116</v>
      </c>
      <c r="E220" s="57"/>
      <c r="F220" s="57" t="s">
        <v>179</v>
      </c>
      <c r="G220" s="133" t="s">
        <v>144</v>
      </c>
    </row>
    <row r="221" spans="1:7" x14ac:dyDescent="0.2">
      <c r="A221" s="128"/>
      <c r="B221" s="101"/>
      <c r="C221" s="102"/>
      <c r="D221" s="57">
        <v>8884</v>
      </c>
      <c r="E221" s="102"/>
      <c r="F221" s="102" t="s">
        <v>197</v>
      </c>
      <c r="G221" t="s">
        <v>198</v>
      </c>
    </row>
    <row r="222" spans="1:7" x14ac:dyDescent="0.2">
      <c r="A222" s="25" t="s">
        <v>43</v>
      </c>
      <c r="B222" s="26">
        <f>SUM(B220:B221)</f>
        <v>25000</v>
      </c>
      <c r="C222" s="61"/>
      <c r="D222" s="34">
        <f>SUM(D220:D221)</f>
        <v>25000</v>
      </c>
      <c r="E222" s="61">
        <f>E220</f>
        <v>0</v>
      </c>
      <c r="F222" s="60"/>
      <c r="G222" s="35"/>
    </row>
    <row r="223" spans="1:7" x14ac:dyDescent="0.2">
      <c r="A223" s="36"/>
      <c r="B223" s="36"/>
      <c r="C223" s="64"/>
      <c r="D223" s="36"/>
      <c r="E223" s="64"/>
      <c r="F223" s="64"/>
      <c r="G223" s="36"/>
    </row>
    <row r="224" spans="1:7" x14ac:dyDescent="0.2">
      <c r="A224" s="99" t="s">
        <v>103</v>
      </c>
      <c r="B224" s="34">
        <v>40000</v>
      </c>
      <c r="C224" s="129" t="s">
        <v>139</v>
      </c>
      <c r="D224" s="130">
        <v>40000</v>
      </c>
      <c r="E224" s="62">
        <f>B224-D224</f>
        <v>0</v>
      </c>
      <c r="F224" s="58" t="s">
        <v>185</v>
      </c>
      <c r="G224" s="27" t="s">
        <v>138</v>
      </c>
    </row>
    <row r="225" spans="1:7" x14ac:dyDescent="0.2">
      <c r="A225" s="99"/>
      <c r="B225" s="34"/>
      <c r="C225" s="129"/>
      <c r="D225" s="55"/>
      <c r="E225" s="62"/>
      <c r="F225" s="58"/>
      <c r="G225" s="27"/>
    </row>
    <row r="226" spans="1:7" ht="13.5" thickBot="1" x14ac:dyDescent="0.25">
      <c r="A226" s="103" t="s">
        <v>43</v>
      </c>
      <c r="B226" s="104">
        <f>SUM(B224:B225)</f>
        <v>40000</v>
      </c>
      <c r="C226" s="56"/>
      <c r="D226" s="104">
        <f>SUM(D224:D225)</f>
        <v>40000</v>
      </c>
      <c r="E226" s="56">
        <f>SUM(E224:E225)</f>
        <v>0</v>
      </c>
      <c r="F226" s="56"/>
      <c r="G226" s="105"/>
    </row>
  </sheetData>
  <mergeCells count="12">
    <mergeCell ref="A1:G1"/>
    <mergeCell ref="A21:G21"/>
    <mergeCell ref="A41:G41"/>
    <mergeCell ref="A209:G209"/>
    <mergeCell ref="A189:G189"/>
    <mergeCell ref="A147:G147"/>
    <mergeCell ref="F185:F186"/>
    <mergeCell ref="A62:G62"/>
    <mergeCell ref="A84:G84"/>
    <mergeCell ref="A105:G105"/>
    <mergeCell ref="A126:G126"/>
    <mergeCell ref="A168:G168"/>
  </mergeCells>
  <hyperlinks>
    <hyperlink ref="F38" r:id="rId1" xr:uid="{F12E9EAE-8689-448B-9879-1D1645C470E4}"/>
    <hyperlink ref="C32" r:id="rId2" display="https://edocs.puc.state.or.us/efdocs/HUD/um1586hud332858033.pdf" xr:uid="{4F01BD6B-A722-4340-B8D2-A01DB0FF0461}"/>
  </hyperlinks>
  <pageMargins left="0.7" right="0.7" top="0.75" bottom="0.75" header="0.3" footer="0.3"/>
  <pageSetup orientation="landscape" r:id="rId3"/>
  <rowBreaks count="4" manualBreakCount="4">
    <brk id="145" max="16383" man="1"/>
    <brk id="166" max="16383" man="1"/>
    <brk id="187" max="16383" man="1"/>
    <brk id="207" max="16383" man="1"/>
  </rowBreaks>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6F2F-4B25-4D41-9335-90D025E3D359}">
  <sheetPr>
    <pageSetUpPr fitToPage="1"/>
  </sheetPr>
  <dimension ref="A1:T146"/>
  <sheetViews>
    <sheetView zoomScaleNormal="100" workbookViewId="0">
      <selection activeCell="F29" sqref="F29"/>
    </sheetView>
  </sheetViews>
  <sheetFormatPr defaultRowHeight="12.75" x14ac:dyDescent="0.2"/>
  <cols>
    <col min="1" max="1" width="20.85546875" bestFit="1" customWidth="1"/>
    <col min="2" max="2" width="13" customWidth="1"/>
    <col min="3" max="3" width="11.7109375" bestFit="1" customWidth="1"/>
    <col min="4" max="4" width="11.42578125" customWidth="1"/>
    <col min="5" max="5" width="11.7109375" bestFit="1" customWidth="1"/>
    <col min="6" max="6" width="11.140625" bestFit="1" customWidth="1"/>
    <col min="7" max="7" width="11.7109375" bestFit="1" customWidth="1"/>
    <col min="8" max="10" width="11" customWidth="1"/>
    <col min="11" max="13" width="11.7109375" bestFit="1" customWidth="1"/>
    <col min="14" max="16" width="11" customWidth="1"/>
    <col min="17" max="17" width="10.7109375" customWidth="1"/>
    <col min="18" max="18" width="15.85546875" bestFit="1" customWidth="1"/>
    <col min="19" max="19" width="36.42578125" customWidth="1"/>
    <col min="20" max="20" width="11.140625" bestFit="1" customWidth="1"/>
  </cols>
  <sheetData>
    <row r="1" spans="1:19" ht="13.5" thickBot="1" x14ac:dyDescent="0.25"/>
    <row r="2" spans="1:19" ht="21" thickBot="1" x14ac:dyDescent="0.25">
      <c r="A2" s="550" t="s">
        <v>1239</v>
      </c>
      <c r="B2" s="551"/>
      <c r="C2" s="551"/>
      <c r="D2" s="551"/>
      <c r="E2" s="551"/>
      <c r="F2" s="551"/>
      <c r="G2" s="551"/>
      <c r="H2" s="551"/>
      <c r="I2" s="551"/>
      <c r="J2" s="551"/>
      <c r="K2" s="551"/>
      <c r="L2" s="551"/>
      <c r="M2" s="551"/>
      <c r="N2" s="551"/>
      <c r="O2" s="551"/>
      <c r="P2" s="551"/>
      <c r="Q2" s="551"/>
      <c r="R2" s="551"/>
      <c r="S2" s="552"/>
    </row>
    <row r="3" spans="1:19" x14ac:dyDescent="0.2">
      <c r="A3" s="332" t="s">
        <v>984</v>
      </c>
      <c r="B3" s="13" t="s">
        <v>52</v>
      </c>
      <c r="C3" s="13" t="s">
        <v>53</v>
      </c>
      <c r="D3" s="13" t="s">
        <v>14</v>
      </c>
      <c r="E3" s="13" t="s">
        <v>56</v>
      </c>
      <c r="F3" s="13" t="s">
        <v>55</v>
      </c>
      <c r="G3" s="13" t="s">
        <v>101</v>
      </c>
      <c r="H3" s="13"/>
      <c r="I3" s="609" t="s">
        <v>985</v>
      </c>
      <c r="J3" s="610"/>
      <c r="K3" s="13" t="s">
        <v>52</v>
      </c>
      <c r="L3" s="13" t="s">
        <v>53</v>
      </c>
      <c r="M3" s="13" t="s">
        <v>14</v>
      </c>
      <c r="N3" s="13" t="s">
        <v>56</v>
      </c>
      <c r="O3" s="13" t="s">
        <v>55</v>
      </c>
      <c r="P3" s="13" t="s">
        <v>101</v>
      </c>
      <c r="R3" s="13"/>
      <c r="S3" s="298"/>
    </row>
    <row r="4" spans="1:19" x14ac:dyDescent="0.2">
      <c r="A4" s="39" t="s">
        <v>1252</v>
      </c>
      <c r="B4" s="18">
        <v>85000</v>
      </c>
      <c r="C4" s="18">
        <v>85000</v>
      </c>
      <c r="D4" s="18">
        <v>85000</v>
      </c>
      <c r="E4" s="18" t="s">
        <v>995</v>
      </c>
      <c r="F4" s="203" t="s">
        <v>995</v>
      </c>
      <c r="G4" s="203" t="s">
        <v>995</v>
      </c>
      <c r="H4" s="18"/>
      <c r="I4" s="608" t="s">
        <v>1252</v>
      </c>
      <c r="J4" s="529"/>
      <c r="K4" s="18">
        <v>56667</v>
      </c>
      <c r="L4" s="18">
        <v>56667</v>
      </c>
      <c r="M4" s="18">
        <v>56667</v>
      </c>
      <c r="N4" s="18">
        <v>25000</v>
      </c>
      <c r="O4" s="18">
        <v>25000</v>
      </c>
      <c r="P4" s="18">
        <v>25000</v>
      </c>
      <c r="R4" s="292">
        <f>SUM(B4:P4)</f>
        <v>500001</v>
      </c>
      <c r="S4" s="37"/>
    </row>
    <row r="5" spans="1:19" x14ac:dyDescent="0.2">
      <c r="A5" s="39" t="s">
        <v>36</v>
      </c>
      <c r="B5" s="18">
        <f>IF(B45&gt;B4,B4,B45)</f>
        <v>17264.042000000016</v>
      </c>
      <c r="C5" s="18">
        <f>IF(C45&gt;C4,C4,C45)</f>
        <v>14300.001999999979</v>
      </c>
      <c r="D5" s="18">
        <f>IF(D45&gt;D4,D4,D45)</f>
        <v>71622.508000000002</v>
      </c>
      <c r="E5" s="18" t="str">
        <f>IF(E44&gt;E4,E4,E44)</f>
        <v>N/A</v>
      </c>
      <c r="F5" s="203" t="s">
        <v>995</v>
      </c>
      <c r="G5" s="203" t="s">
        <v>995</v>
      </c>
      <c r="H5" s="18"/>
      <c r="I5" s="608" t="s">
        <v>36</v>
      </c>
      <c r="J5" s="529"/>
      <c r="K5" s="18">
        <f>IF(K45&gt;K4,K4,K45)</f>
        <v>56667</v>
      </c>
      <c r="L5" s="18">
        <f t="shared" ref="L5:P5" si="0">IF(L45&gt;L4,L4,L45)</f>
        <v>29009.5</v>
      </c>
      <c r="M5" s="18">
        <f t="shared" si="0"/>
        <v>52016.5</v>
      </c>
      <c r="N5" s="18">
        <f t="shared" si="0"/>
        <v>25000</v>
      </c>
      <c r="O5" s="18">
        <f t="shared" si="0"/>
        <v>25000</v>
      </c>
      <c r="P5" s="18">
        <f t="shared" si="0"/>
        <v>3917</v>
      </c>
      <c r="R5" s="13"/>
      <c r="S5" s="37" t="s">
        <v>1151</v>
      </c>
    </row>
    <row r="6" spans="1:19" x14ac:dyDescent="0.2">
      <c r="A6" s="39" t="s">
        <v>992</v>
      </c>
      <c r="B6" s="18">
        <f>B4+B5</f>
        <v>102264.04200000002</v>
      </c>
      <c r="C6" s="18">
        <f>SUM(C4:C5)</f>
        <v>99300.001999999979</v>
      </c>
      <c r="D6" s="18">
        <f>SUM(D4:D5)</f>
        <v>156622.508</v>
      </c>
      <c r="E6" s="18" t="str">
        <f>IF(E45&gt;E5,E5,E45)</f>
        <v>N/A</v>
      </c>
      <c r="F6" s="203" t="s">
        <v>995</v>
      </c>
      <c r="G6" s="203" t="s">
        <v>995</v>
      </c>
      <c r="H6" s="18"/>
      <c r="I6" s="608" t="s">
        <v>992</v>
      </c>
      <c r="J6" s="529"/>
      <c r="K6" s="18">
        <f>K4+K5</f>
        <v>113334</v>
      </c>
      <c r="L6" s="18">
        <f>SUM(L4:L5)</f>
        <v>85676.5</v>
      </c>
      <c r="M6" s="18">
        <f>SUM(M4:M5)</f>
        <v>108683.5</v>
      </c>
      <c r="N6" s="18">
        <f>SUM(N4:N5)</f>
        <v>50000</v>
      </c>
      <c r="O6" s="18">
        <f>SUM(O4:O5)</f>
        <v>50000</v>
      </c>
      <c r="P6" s="18">
        <f>SUM(P4:P5)</f>
        <v>28917</v>
      </c>
      <c r="R6" s="13"/>
      <c r="S6" s="37" t="s">
        <v>107</v>
      </c>
    </row>
    <row r="7" spans="1:19" x14ac:dyDescent="0.2">
      <c r="A7" s="39" t="s">
        <v>47</v>
      </c>
      <c r="B7" s="18">
        <f>IF(B45&gt;B4,B4,B45)</f>
        <v>17264.042000000016</v>
      </c>
      <c r="C7" s="18">
        <f>IF(C45&gt;C39,C39,C45)</f>
        <v>14300.001999999979</v>
      </c>
      <c r="D7" s="18">
        <f>IF(D45&gt;D39,D39,D45)</f>
        <v>71622.508000000002</v>
      </c>
      <c r="E7" s="203" t="s">
        <v>995</v>
      </c>
      <c r="F7" s="203" t="s">
        <v>995</v>
      </c>
      <c r="G7" s="203" t="s">
        <v>995</v>
      </c>
      <c r="H7" s="18"/>
      <c r="I7" s="608" t="s">
        <v>47</v>
      </c>
      <c r="J7" s="529"/>
      <c r="K7" s="18">
        <f t="shared" ref="K7:P7" si="1">IF(K45&gt;K39,K39,K45)</f>
        <v>56667</v>
      </c>
      <c r="L7" s="18">
        <f t="shared" si="1"/>
        <v>29009.5</v>
      </c>
      <c r="M7" s="18">
        <f t="shared" si="1"/>
        <v>52016.5</v>
      </c>
      <c r="N7" s="18">
        <f t="shared" si="1"/>
        <v>25000</v>
      </c>
      <c r="O7" s="18">
        <f t="shared" si="1"/>
        <v>25000</v>
      </c>
      <c r="P7" s="18">
        <f t="shared" si="1"/>
        <v>3917</v>
      </c>
      <c r="R7" s="13"/>
      <c r="S7" s="37"/>
    </row>
    <row r="8" spans="1:19" x14ac:dyDescent="0.2">
      <c r="A8" s="39" t="s">
        <v>479</v>
      </c>
      <c r="B8" s="18">
        <f>B7+B4</f>
        <v>102264.04200000002</v>
      </c>
      <c r="C8" s="18">
        <f>C7+C4</f>
        <v>99300.001999999979</v>
      </c>
      <c r="D8" s="18">
        <f>D7+D4</f>
        <v>156622.508</v>
      </c>
      <c r="E8" s="18" t="str">
        <f>IF(E47&gt;E7,E7,E47)</f>
        <v>N/A</v>
      </c>
      <c r="F8" s="203" t="s">
        <v>995</v>
      </c>
      <c r="G8" s="203" t="s">
        <v>995</v>
      </c>
      <c r="H8" s="18"/>
      <c r="I8" s="608" t="s">
        <v>479</v>
      </c>
      <c r="J8" s="529"/>
      <c r="K8" s="18">
        <f t="shared" ref="K8:P8" si="2">K7+K4</f>
        <v>113334</v>
      </c>
      <c r="L8" s="18">
        <f t="shared" si="2"/>
        <v>85676.5</v>
      </c>
      <c r="M8" s="18">
        <f t="shared" si="2"/>
        <v>108683.5</v>
      </c>
      <c r="N8" s="18">
        <f t="shared" si="2"/>
        <v>50000</v>
      </c>
      <c r="O8" s="18">
        <f t="shared" si="2"/>
        <v>50000</v>
      </c>
      <c r="P8" s="18">
        <f t="shared" si="2"/>
        <v>28917</v>
      </c>
      <c r="R8" s="13"/>
      <c r="S8" s="37" t="s">
        <v>108</v>
      </c>
    </row>
    <row r="9" spans="1:19" x14ac:dyDescent="0.2">
      <c r="A9" s="39" t="s">
        <v>39</v>
      </c>
      <c r="B9" s="18">
        <f>B6-(F35)</f>
        <v>87039.042000000016</v>
      </c>
      <c r="C9" s="18">
        <f>C6-E35</f>
        <v>84075.001999999979</v>
      </c>
      <c r="D9" s="18">
        <f>D6-F35</f>
        <v>141397.508</v>
      </c>
      <c r="E9" s="203" t="s">
        <v>995</v>
      </c>
      <c r="F9" s="203" t="s">
        <v>995</v>
      </c>
      <c r="G9" s="203" t="s">
        <v>995</v>
      </c>
      <c r="H9" s="18"/>
      <c r="I9" s="608" t="s">
        <v>39</v>
      </c>
      <c r="J9" s="529"/>
      <c r="K9" s="18">
        <f>K6-(F35)</f>
        <v>98109</v>
      </c>
      <c r="L9" s="18">
        <f>L6-H35</f>
        <v>85676.5</v>
      </c>
      <c r="M9" s="18">
        <f>M6-I35</f>
        <v>106490</v>
      </c>
      <c r="N9" s="18">
        <f>N6-L35</f>
        <v>50000</v>
      </c>
      <c r="O9" s="18">
        <f>O6-N35</f>
        <v>50000</v>
      </c>
      <c r="P9" s="18">
        <f>P6-P35</f>
        <v>28917</v>
      </c>
      <c r="R9" s="13"/>
      <c r="S9" s="37" t="s">
        <v>109</v>
      </c>
    </row>
    <row r="10" spans="1:19" ht="25.5" x14ac:dyDescent="0.2">
      <c r="A10" s="39" t="s">
        <v>799</v>
      </c>
      <c r="B10" s="415">
        <f>B8-(E19+F19)</f>
        <v>13206.042000000016</v>
      </c>
      <c r="C10" s="415">
        <f>C8-(G19+H19)</f>
        <v>5492.0019999999786</v>
      </c>
      <c r="D10" s="38">
        <f>D8-(I19+J19)</f>
        <v>1572.5080000000016</v>
      </c>
      <c r="E10" s="203" t="s">
        <v>995</v>
      </c>
      <c r="F10" s="414" t="s">
        <v>995</v>
      </c>
      <c r="G10" s="414" t="s">
        <v>995</v>
      </c>
      <c r="H10" s="217"/>
      <c r="I10" s="608" t="s">
        <v>799</v>
      </c>
      <c r="J10" s="529"/>
      <c r="K10" s="38">
        <f>K8-(E35+F35)</f>
        <v>82884</v>
      </c>
      <c r="L10" s="38">
        <f>L8-(H35+G35)</f>
        <v>85676.5</v>
      </c>
      <c r="M10" s="38">
        <f>M8-(I35+J35)</f>
        <v>104296.5</v>
      </c>
      <c r="N10" s="38">
        <f>N8-(K35+L35)</f>
        <v>50000</v>
      </c>
      <c r="O10" s="38">
        <f>O8-(M35+N35)</f>
        <v>50000</v>
      </c>
      <c r="P10" s="38">
        <f>P8-(O35+P35)</f>
        <v>28917</v>
      </c>
      <c r="R10" s="292"/>
      <c r="S10" s="291" t="s">
        <v>110</v>
      </c>
    </row>
    <row r="11" spans="1:19" ht="21" thickBot="1" x14ac:dyDescent="0.35">
      <c r="A11" s="39"/>
      <c r="B11" s="13"/>
      <c r="C11" s="13"/>
      <c r="D11" s="13"/>
      <c r="E11" s="14"/>
      <c r="F11" s="14"/>
      <c r="G11" s="14"/>
      <c r="H11" s="14"/>
      <c r="I11" s="14"/>
      <c r="J11" s="14"/>
      <c r="K11" s="14"/>
      <c r="L11" s="14"/>
      <c r="M11" s="14"/>
      <c r="N11" s="14"/>
      <c r="O11" s="14"/>
      <c r="P11" s="14"/>
      <c r="Q11" s="13"/>
      <c r="R11" s="13"/>
      <c r="S11" s="37"/>
    </row>
    <row r="12" spans="1:19" ht="51" x14ac:dyDescent="0.2">
      <c r="A12" s="19" t="s">
        <v>986</v>
      </c>
      <c r="B12" s="20" t="s">
        <v>34</v>
      </c>
      <c r="C12" s="20" t="s">
        <v>64</v>
      </c>
      <c r="D12" s="20" t="s">
        <v>63</v>
      </c>
      <c r="E12" s="20" t="s">
        <v>891</v>
      </c>
      <c r="F12" s="20" t="s">
        <v>892</v>
      </c>
      <c r="G12" s="20" t="s">
        <v>893</v>
      </c>
      <c r="H12" s="20" t="s">
        <v>894</v>
      </c>
      <c r="I12" s="20" t="s">
        <v>895</v>
      </c>
      <c r="J12" s="20" t="s">
        <v>896</v>
      </c>
      <c r="K12" s="20" t="s">
        <v>897</v>
      </c>
      <c r="L12" s="20" t="s">
        <v>898</v>
      </c>
      <c r="M12" s="20" t="s">
        <v>899</v>
      </c>
      <c r="N12" s="20" t="s">
        <v>900</v>
      </c>
      <c r="O12" s="20" t="s">
        <v>901</v>
      </c>
      <c r="P12" s="20" t="s">
        <v>902</v>
      </c>
      <c r="Q12" s="20" t="s">
        <v>40</v>
      </c>
      <c r="R12" s="20" t="s">
        <v>38</v>
      </c>
      <c r="S12" s="21" t="s">
        <v>5</v>
      </c>
    </row>
    <row r="13" spans="1:19" x14ac:dyDescent="0.2">
      <c r="A13" s="339" t="s">
        <v>987</v>
      </c>
      <c r="B13" s="135" t="s">
        <v>890</v>
      </c>
      <c r="C13" s="142">
        <v>250000</v>
      </c>
      <c r="D13" s="136"/>
      <c r="E13" s="58">
        <v>58000</v>
      </c>
      <c r="F13" s="83"/>
      <c r="G13" s="82">
        <v>56000</v>
      </c>
      <c r="H13" s="82"/>
      <c r="I13" s="82">
        <v>136000</v>
      </c>
      <c r="J13" s="82"/>
      <c r="K13" s="82"/>
      <c r="L13" s="82"/>
      <c r="M13" s="82"/>
      <c r="N13" s="82"/>
      <c r="O13" s="82"/>
      <c r="P13" s="82"/>
      <c r="Q13" s="138"/>
      <c r="R13" s="135"/>
      <c r="S13" s="43"/>
    </row>
    <row r="14" spans="1:19" x14ac:dyDescent="0.2">
      <c r="A14" s="150"/>
      <c r="B14" s="135" t="s">
        <v>618</v>
      </c>
      <c r="C14" s="142">
        <v>43500</v>
      </c>
      <c r="D14" s="136"/>
      <c r="E14" s="151">
        <v>16558</v>
      </c>
      <c r="F14" s="82"/>
      <c r="G14" s="82">
        <v>16558</v>
      </c>
      <c r="H14" s="82"/>
      <c r="I14" s="82">
        <v>9050</v>
      </c>
      <c r="J14" s="82"/>
      <c r="K14" s="82"/>
      <c r="L14" s="82"/>
      <c r="M14" s="82"/>
      <c r="N14" s="82"/>
      <c r="O14" s="82"/>
      <c r="P14" s="82"/>
      <c r="Q14" s="135"/>
      <c r="R14" s="135"/>
      <c r="S14" s="144"/>
    </row>
    <row r="15" spans="1:19" x14ac:dyDescent="0.2">
      <c r="A15" s="150"/>
      <c r="B15" s="243" t="s">
        <v>1081</v>
      </c>
      <c r="C15" s="142">
        <v>45750</v>
      </c>
      <c r="D15" s="136"/>
      <c r="E15" s="151">
        <v>14500</v>
      </c>
      <c r="F15" s="82"/>
      <c r="G15" s="126">
        <v>21250</v>
      </c>
      <c r="H15" s="126"/>
      <c r="I15" s="126">
        <v>10000</v>
      </c>
      <c r="J15" s="126"/>
      <c r="K15" s="126"/>
      <c r="L15" s="126"/>
      <c r="M15" s="126"/>
      <c r="N15" s="126"/>
      <c r="O15" s="126"/>
      <c r="P15" s="126"/>
      <c r="Q15" s="243"/>
      <c r="R15" s="243"/>
      <c r="S15" s="43"/>
    </row>
    <row r="16" spans="1:19" x14ac:dyDescent="0.2">
      <c r="A16" s="150"/>
      <c r="B16" s="243"/>
      <c r="C16" s="142"/>
      <c r="D16" s="245"/>
      <c r="E16" s="151"/>
      <c r="F16" s="82"/>
      <c r="G16" s="126"/>
      <c r="H16" s="126"/>
      <c r="I16" s="126"/>
      <c r="J16" s="126"/>
      <c r="K16" s="126"/>
      <c r="L16" s="126"/>
      <c r="M16" s="126"/>
      <c r="N16" s="126"/>
      <c r="O16" s="126"/>
      <c r="P16" s="126"/>
      <c r="Q16" s="243"/>
      <c r="R16" s="243"/>
      <c r="S16" s="43"/>
    </row>
    <row r="17" spans="1:19" x14ac:dyDescent="0.2">
      <c r="A17" s="150"/>
      <c r="B17" s="243"/>
      <c r="C17" s="142"/>
      <c r="D17" s="245"/>
      <c r="E17" s="151"/>
      <c r="F17" s="82"/>
      <c r="G17" s="126"/>
      <c r="H17" s="126"/>
      <c r="I17" s="126"/>
      <c r="J17" s="126"/>
      <c r="K17" s="126"/>
      <c r="L17" s="126"/>
      <c r="M17" s="126"/>
      <c r="N17" s="126"/>
      <c r="O17" s="126"/>
      <c r="P17" s="126"/>
      <c r="Q17" s="243"/>
      <c r="R17" s="243"/>
      <c r="S17" s="144"/>
    </row>
    <row r="18" spans="1:19" x14ac:dyDescent="0.2">
      <c r="A18" s="150"/>
      <c r="B18" s="243"/>
      <c r="C18" s="142"/>
      <c r="D18" s="245"/>
      <c r="E18" s="151"/>
      <c r="F18" s="82"/>
      <c r="G18" s="126"/>
      <c r="H18" s="126"/>
      <c r="I18" s="126"/>
      <c r="J18" s="126"/>
      <c r="K18" s="126"/>
      <c r="L18" s="126"/>
      <c r="M18" s="126"/>
      <c r="N18" s="126"/>
      <c r="O18" s="126"/>
      <c r="P18" s="126"/>
      <c r="Q18" s="243"/>
      <c r="R18" s="243"/>
      <c r="S18" s="144"/>
    </row>
    <row r="19" spans="1:19" x14ac:dyDescent="0.2">
      <c r="A19" s="147" t="s">
        <v>43</v>
      </c>
      <c r="B19" s="290"/>
      <c r="C19" s="337">
        <f>SUM(C13:C18)</f>
        <v>339250</v>
      </c>
      <c r="D19" s="12"/>
      <c r="E19" s="315">
        <f>SUM(E13:E18)</f>
        <v>89058</v>
      </c>
      <c r="F19" s="315">
        <f t="shared" ref="F19:P19" si="3">SUM(F13:F18)</f>
        <v>0</v>
      </c>
      <c r="G19" s="315">
        <f t="shared" si="3"/>
        <v>93808</v>
      </c>
      <c r="H19" s="315">
        <f t="shared" si="3"/>
        <v>0</v>
      </c>
      <c r="I19" s="315">
        <f t="shared" si="3"/>
        <v>155050</v>
      </c>
      <c r="J19" s="315">
        <f t="shared" si="3"/>
        <v>0</v>
      </c>
      <c r="K19" s="315">
        <f t="shared" si="3"/>
        <v>0</v>
      </c>
      <c r="L19" s="315">
        <f t="shared" si="3"/>
        <v>0</v>
      </c>
      <c r="M19" s="315">
        <f t="shared" si="3"/>
        <v>0</v>
      </c>
      <c r="N19" s="315">
        <f t="shared" si="3"/>
        <v>0</v>
      </c>
      <c r="O19" s="315">
        <f t="shared" si="3"/>
        <v>0</v>
      </c>
      <c r="P19" s="315">
        <f t="shared" si="3"/>
        <v>0</v>
      </c>
      <c r="R19" s="11"/>
      <c r="S19" s="144"/>
    </row>
    <row r="20" spans="1:19" x14ac:dyDescent="0.2">
      <c r="A20" s="319"/>
      <c r="B20" s="333"/>
      <c r="C20" s="334"/>
      <c r="D20" s="335"/>
      <c r="E20" s="306"/>
      <c r="F20" s="306"/>
      <c r="G20" s="336"/>
      <c r="H20" s="336"/>
      <c r="I20" s="336"/>
      <c r="J20" s="336"/>
      <c r="K20" s="336"/>
      <c r="L20" s="336"/>
      <c r="M20" s="336"/>
      <c r="N20" s="336"/>
      <c r="O20" s="336"/>
      <c r="P20" s="336"/>
      <c r="Q20" s="313"/>
      <c r="R20" s="312"/>
      <c r="S20" s="307"/>
    </row>
    <row r="21" spans="1:19" x14ac:dyDescent="0.2">
      <c r="A21" s="340" t="s">
        <v>985</v>
      </c>
      <c r="B21" s="290" t="s">
        <v>618</v>
      </c>
      <c r="C21" s="142"/>
      <c r="D21" s="12"/>
      <c r="E21" s="82"/>
      <c r="F21" s="82"/>
      <c r="G21" s="126"/>
      <c r="H21" s="126"/>
      <c r="I21" s="126">
        <v>1443.5</v>
      </c>
      <c r="J21" s="126">
        <v>1443.5</v>
      </c>
      <c r="K21" s="126"/>
      <c r="L21" s="126"/>
      <c r="M21" s="126"/>
      <c r="N21" s="126"/>
      <c r="O21" s="126"/>
      <c r="P21" s="126"/>
      <c r="Q21" s="463" t="s">
        <v>1266</v>
      </c>
      <c r="R21" s="290" t="s">
        <v>1265</v>
      </c>
      <c r="S21" s="144"/>
    </row>
    <row r="22" spans="1:19" x14ac:dyDescent="0.2">
      <c r="A22" s="150"/>
      <c r="B22" s="290" t="s">
        <v>1081</v>
      </c>
      <c r="C22" s="142"/>
      <c r="D22" s="12"/>
      <c r="E22" s="82"/>
      <c r="F22" s="82"/>
      <c r="G22" s="126"/>
      <c r="H22" s="126"/>
      <c r="I22" s="246">
        <v>750</v>
      </c>
      <c r="J22" s="126">
        <v>750</v>
      </c>
      <c r="K22" s="126"/>
      <c r="L22" s="126"/>
      <c r="M22" s="126"/>
      <c r="N22" s="126"/>
      <c r="O22" s="126"/>
      <c r="P22" s="126"/>
      <c r="Q22" s="463" t="s">
        <v>1266</v>
      </c>
      <c r="R22" s="290" t="s">
        <v>1265</v>
      </c>
      <c r="S22" s="144"/>
    </row>
    <row r="23" spans="1:19" x14ac:dyDescent="0.2">
      <c r="A23" s="150"/>
      <c r="B23" s="290"/>
      <c r="C23" s="142"/>
      <c r="D23" s="12"/>
      <c r="E23" s="82"/>
      <c r="F23" s="82"/>
      <c r="G23" s="126"/>
      <c r="H23" s="126"/>
      <c r="I23" s="126"/>
      <c r="J23" s="126"/>
      <c r="K23" s="126"/>
      <c r="L23" s="126"/>
      <c r="M23" s="126"/>
      <c r="N23" s="126"/>
      <c r="O23" s="126"/>
      <c r="P23" s="126"/>
      <c r="R23" s="290"/>
      <c r="S23" s="144"/>
    </row>
    <row r="24" spans="1:19" x14ac:dyDescent="0.2">
      <c r="A24" s="150"/>
      <c r="B24" s="290" t="s">
        <v>1217</v>
      </c>
      <c r="C24" s="142"/>
      <c r="D24" s="461" t="s">
        <v>1281</v>
      </c>
      <c r="E24" s="82">
        <f>30450-F24</f>
        <v>15225</v>
      </c>
      <c r="F24" s="82">
        <v>15225</v>
      </c>
      <c r="G24" s="126"/>
      <c r="H24" s="126"/>
      <c r="I24" s="126"/>
      <c r="J24" s="126"/>
      <c r="K24" s="126"/>
      <c r="L24" s="126"/>
      <c r="M24" s="126"/>
      <c r="N24" s="126"/>
      <c r="O24" s="126"/>
      <c r="P24" s="126"/>
      <c r="Q24" s="463"/>
      <c r="R24" s="290"/>
      <c r="S24" s="144"/>
    </row>
    <row r="25" spans="1:19" x14ac:dyDescent="0.2">
      <c r="A25" s="150"/>
      <c r="B25" s="243"/>
      <c r="C25" s="142"/>
      <c r="D25" s="12"/>
      <c r="E25" s="82"/>
      <c r="F25" s="82"/>
      <c r="G25" s="246"/>
      <c r="H25" s="126"/>
      <c r="I25" s="126"/>
      <c r="J25" s="126"/>
      <c r="K25" s="126"/>
      <c r="L25" s="126"/>
      <c r="M25" s="126"/>
      <c r="N25" s="126"/>
      <c r="O25" s="126"/>
      <c r="P25" s="126"/>
      <c r="R25" s="290"/>
      <c r="S25" s="144"/>
    </row>
    <row r="26" spans="1:19" x14ac:dyDescent="0.2">
      <c r="A26" s="150"/>
      <c r="B26" s="243"/>
      <c r="C26" s="142"/>
      <c r="D26" s="12"/>
      <c r="E26" s="82"/>
      <c r="F26" s="82"/>
      <c r="G26" s="126"/>
      <c r="H26" s="126"/>
      <c r="I26" s="126"/>
      <c r="J26" s="126"/>
      <c r="K26" s="126"/>
      <c r="L26" s="126"/>
      <c r="M26" s="126"/>
      <c r="N26" s="126"/>
      <c r="O26" s="126"/>
      <c r="P26" s="126"/>
      <c r="R26" s="11"/>
      <c r="S26" s="144"/>
    </row>
    <row r="27" spans="1:19" x14ac:dyDescent="0.2">
      <c r="A27" s="150"/>
      <c r="B27" s="243"/>
      <c r="C27" s="142"/>
      <c r="D27" s="12"/>
      <c r="E27" s="82"/>
      <c r="F27" s="82"/>
      <c r="G27" s="246"/>
      <c r="H27" s="126"/>
      <c r="I27" s="126"/>
      <c r="J27" s="126"/>
      <c r="K27" s="126"/>
      <c r="L27" s="126"/>
      <c r="M27" s="126"/>
      <c r="N27" s="126"/>
      <c r="O27" s="126"/>
      <c r="P27" s="126"/>
      <c r="Q27" s="463"/>
      <c r="R27" s="11"/>
      <c r="S27" s="144"/>
    </row>
    <row r="28" spans="1:19" x14ac:dyDescent="0.2">
      <c r="A28" s="150"/>
      <c r="B28" s="243"/>
      <c r="C28" s="142"/>
      <c r="D28" s="12"/>
      <c r="E28" s="82"/>
      <c r="F28" s="82"/>
      <c r="G28" s="126"/>
      <c r="H28" s="126"/>
      <c r="I28" s="126"/>
      <c r="J28" s="126"/>
      <c r="K28" s="126"/>
      <c r="L28" s="126"/>
      <c r="M28" s="126"/>
      <c r="N28" s="126"/>
      <c r="O28" s="126"/>
      <c r="P28" s="126"/>
      <c r="R28" s="11"/>
      <c r="S28" s="144"/>
    </row>
    <row r="29" spans="1:19" x14ac:dyDescent="0.2">
      <c r="A29" s="150"/>
      <c r="B29" s="243"/>
      <c r="C29" s="142"/>
      <c r="D29" s="12"/>
      <c r="E29" s="82"/>
      <c r="F29" s="82"/>
      <c r="G29" s="126"/>
      <c r="H29" s="126"/>
      <c r="I29" s="126"/>
      <c r="J29" s="126"/>
      <c r="K29" s="126"/>
      <c r="L29" s="126"/>
      <c r="M29" s="126"/>
      <c r="N29" s="126"/>
      <c r="O29" s="126"/>
      <c r="P29" s="126"/>
      <c r="Q29" s="463"/>
      <c r="R29" s="11"/>
      <c r="S29" s="144"/>
    </row>
    <row r="30" spans="1:19" x14ac:dyDescent="0.2">
      <c r="A30" s="150"/>
      <c r="B30" s="243"/>
      <c r="C30" s="142"/>
      <c r="D30" s="413"/>
      <c r="E30" s="82"/>
      <c r="F30" s="82"/>
      <c r="G30" s="126"/>
      <c r="H30" s="126"/>
      <c r="I30" s="126"/>
      <c r="J30" s="126"/>
      <c r="K30" s="126"/>
      <c r="L30" s="126"/>
      <c r="M30" s="126"/>
      <c r="N30" s="126"/>
      <c r="O30" s="126"/>
      <c r="P30" s="126"/>
      <c r="R30" s="11"/>
      <c r="S30" s="144"/>
    </row>
    <row r="31" spans="1:19" x14ac:dyDescent="0.2">
      <c r="A31" s="150"/>
      <c r="B31" s="243"/>
      <c r="C31" s="142"/>
      <c r="D31" s="413"/>
      <c r="E31" s="82"/>
      <c r="F31" s="82"/>
      <c r="G31" s="126"/>
      <c r="H31" s="126"/>
      <c r="I31" s="126"/>
      <c r="J31" s="126"/>
      <c r="K31" s="126"/>
      <c r="L31" s="126"/>
      <c r="M31" s="126"/>
      <c r="N31" s="126"/>
      <c r="O31" s="126"/>
      <c r="P31" s="126"/>
      <c r="R31" s="11"/>
      <c r="S31" s="144"/>
    </row>
    <row r="32" spans="1:19" x14ac:dyDescent="0.2">
      <c r="A32" s="150"/>
      <c r="B32" s="243"/>
      <c r="C32" s="142"/>
      <c r="D32" s="12"/>
      <c r="E32" s="82"/>
      <c r="F32" s="82"/>
      <c r="G32" s="126"/>
      <c r="H32" s="126"/>
      <c r="I32" s="126"/>
      <c r="J32" s="126"/>
      <c r="K32" s="126"/>
      <c r="L32" s="126"/>
      <c r="M32" s="126"/>
      <c r="N32" s="126"/>
      <c r="O32" s="126"/>
      <c r="P32" s="126"/>
      <c r="R32" s="11"/>
      <c r="S32" s="144"/>
    </row>
    <row r="33" spans="1:19" x14ac:dyDescent="0.2">
      <c r="A33" s="150"/>
      <c r="B33" s="243"/>
      <c r="C33" s="142"/>
      <c r="D33" s="12"/>
      <c r="E33" s="82"/>
      <c r="F33" s="468"/>
      <c r="G33" s="126"/>
      <c r="H33" s="126"/>
      <c r="I33" s="126"/>
      <c r="J33" s="126"/>
      <c r="K33" s="126"/>
      <c r="L33" s="126"/>
      <c r="M33" s="126"/>
      <c r="N33" s="126"/>
      <c r="O33" s="126"/>
      <c r="P33" s="126"/>
      <c r="R33" s="11"/>
      <c r="S33" s="144"/>
    </row>
    <row r="34" spans="1:19" x14ac:dyDescent="0.2">
      <c r="A34" s="150"/>
      <c r="B34" s="243"/>
      <c r="C34" s="142"/>
      <c r="D34" s="461"/>
      <c r="E34" s="82"/>
      <c r="F34" s="82"/>
      <c r="G34" s="126"/>
      <c r="H34" s="126"/>
      <c r="I34" s="126"/>
      <c r="J34" s="126"/>
      <c r="K34" s="126"/>
      <c r="L34" s="126"/>
      <c r="M34" s="126"/>
      <c r="N34" s="126"/>
      <c r="O34" s="126"/>
      <c r="P34" s="126"/>
      <c r="R34" s="11"/>
      <c r="S34" s="144"/>
    </row>
    <row r="35" spans="1:19" ht="13.5" thickBot="1" x14ac:dyDescent="0.25">
      <c r="A35" s="338" t="s">
        <v>43</v>
      </c>
      <c r="B35" s="29"/>
      <c r="C35" s="299">
        <f>SUM(C21:C34)</f>
        <v>0</v>
      </c>
      <c r="D35" s="29"/>
      <c r="E35" s="56">
        <f>SUM(E21:E32)</f>
        <v>15225</v>
      </c>
      <c r="F35" s="56">
        <f>SUM(F21:F32)</f>
        <v>15225</v>
      </c>
      <c r="G35" s="56">
        <f>SUM(G21:G28)</f>
        <v>0</v>
      </c>
      <c r="H35" s="56">
        <f>SUM(H21:H34)</f>
        <v>0</v>
      </c>
      <c r="I35" s="56">
        <f>SUM(I21:I31)</f>
        <v>2193.5</v>
      </c>
      <c r="J35" s="56">
        <f>SUM(J21:J31)</f>
        <v>2193.5</v>
      </c>
      <c r="K35" s="56">
        <f t="shared" ref="K35:P35" si="4">SUM(K21:K28)</f>
        <v>0</v>
      </c>
      <c r="L35" s="56">
        <f t="shared" si="4"/>
        <v>0</v>
      </c>
      <c r="M35" s="56">
        <f t="shared" si="4"/>
        <v>0</v>
      </c>
      <c r="N35" s="56">
        <f t="shared" si="4"/>
        <v>0</v>
      </c>
      <c r="O35" s="56">
        <f t="shared" si="4"/>
        <v>0</v>
      </c>
      <c r="P35" s="56">
        <f t="shared" si="4"/>
        <v>0</v>
      </c>
      <c r="Q35" s="29"/>
      <c r="R35" s="29"/>
      <c r="S35" s="30"/>
    </row>
    <row r="36" spans="1:19" ht="13.5" thickBot="1" x14ac:dyDescent="0.25"/>
    <row r="37" spans="1:19" ht="21" thickBot="1" x14ac:dyDescent="0.25">
      <c r="A37" s="550" t="s">
        <v>990</v>
      </c>
      <c r="B37" s="551"/>
      <c r="C37" s="551"/>
      <c r="D37" s="551"/>
      <c r="E37" s="551"/>
      <c r="F37" s="551"/>
      <c r="G37" s="551"/>
      <c r="H37" s="551"/>
      <c r="I37" s="551"/>
      <c r="J37" s="551"/>
      <c r="K37" s="551"/>
      <c r="L37" s="551"/>
      <c r="M37" s="551"/>
      <c r="N37" s="551"/>
      <c r="O37" s="551"/>
      <c r="P37" s="551"/>
      <c r="Q37" s="551"/>
      <c r="R37" s="551"/>
      <c r="S37" s="552"/>
    </row>
    <row r="38" spans="1:19" x14ac:dyDescent="0.2">
      <c r="A38" s="332" t="s">
        <v>984</v>
      </c>
      <c r="B38" s="13" t="s">
        <v>52</v>
      </c>
      <c r="C38" s="13" t="s">
        <v>53</v>
      </c>
      <c r="D38" s="13" t="s">
        <v>14</v>
      </c>
      <c r="E38" s="13" t="s">
        <v>56</v>
      </c>
      <c r="F38" s="13" t="s">
        <v>55</v>
      </c>
      <c r="G38" s="13" t="s">
        <v>101</v>
      </c>
      <c r="H38" s="13"/>
      <c r="I38" s="609" t="s">
        <v>985</v>
      </c>
      <c r="J38" s="610"/>
      <c r="K38" s="13" t="s">
        <v>52</v>
      </c>
      <c r="L38" s="13" t="s">
        <v>53</v>
      </c>
      <c r="M38" s="13" t="s">
        <v>14</v>
      </c>
      <c r="N38" s="13" t="s">
        <v>56</v>
      </c>
      <c r="O38" s="13" t="s">
        <v>55</v>
      </c>
      <c r="P38" s="13" t="s">
        <v>101</v>
      </c>
      <c r="R38" s="13"/>
      <c r="S38" s="298"/>
    </row>
    <row r="39" spans="1:19" x14ac:dyDescent="0.2">
      <c r="A39" s="39" t="s">
        <v>991</v>
      </c>
      <c r="B39" s="18">
        <v>85000</v>
      </c>
      <c r="C39" s="18">
        <v>85000</v>
      </c>
      <c r="D39" s="18">
        <v>85000</v>
      </c>
      <c r="E39" s="18" t="s">
        <v>995</v>
      </c>
      <c r="F39" s="203" t="s">
        <v>995</v>
      </c>
      <c r="G39" s="203" t="s">
        <v>995</v>
      </c>
      <c r="H39" s="18"/>
      <c r="I39" s="608" t="s">
        <v>991</v>
      </c>
      <c r="J39" s="529"/>
      <c r="K39" s="18">
        <v>56667</v>
      </c>
      <c r="L39" s="18">
        <v>56667</v>
      </c>
      <c r="M39" s="18">
        <v>56667</v>
      </c>
      <c r="N39" s="18">
        <v>25000</v>
      </c>
      <c r="O39" s="18">
        <v>25000</v>
      </c>
      <c r="P39" s="18">
        <v>25000</v>
      </c>
      <c r="R39" s="292">
        <f>SUM(B39:P39)</f>
        <v>500001</v>
      </c>
      <c r="S39" s="37"/>
    </row>
    <row r="40" spans="1:19" x14ac:dyDescent="0.2">
      <c r="A40" s="39" t="s">
        <v>36</v>
      </c>
      <c r="B40" s="18">
        <f>IF(B83&gt;B39,B39,B83)</f>
        <v>5108.7925500000129</v>
      </c>
      <c r="C40" s="18">
        <f>IF(C83&gt;C39,C39,C83)</f>
        <v>85000</v>
      </c>
      <c r="D40" s="18">
        <f>IF(D83&gt;D39,D39,D83)</f>
        <v>69703.792550000013</v>
      </c>
      <c r="E40" s="18" t="str">
        <f>IF(E83&gt;E39,E39,E83)</f>
        <v>N/A</v>
      </c>
      <c r="F40" s="203" t="s">
        <v>995</v>
      </c>
      <c r="G40" s="203" t="s">
        <v>995</v>
      </c>
      <c r="H40" s="18"/>
      <c r="I40" s="608" t="s">
        <v>36</v>
      </c>
      <c r="J40" s="529"/>
      <c r="K40" s="18">
        <f t="shared" ref="K40:P40" si="5">IF(K83&gt;K39,K39,K83)</f>
        <v>56667</v>
      </c>
      <c r="L40" s="18">
        <f t="shared" si="5"/>
        <v>56667</v>
      </c>
      <c r="M40" s="18">
        <f t="shared" si="5"/>
        <v>56667</v>
      </c>
      <c r="N40" s="18">
        <f t="shared" si="5"/>
        <v>25000</v>
      </c>
      <c r="O40" s="18">
        <f t="shared" si="5"/>
        <v>25000</v>
      </c>
      <c r="P40" s="18">
        <f t="shared" si="5"/>
        <v>25000</v>
      </c>
      <c r="R40" s="13"/>
      <c r="S40" s="37" t="s">
        <v>1151</v>
      </c>
    </row>
    <row r="41" spans="1:19" x14ac:dyDescent="0.2">
      <c r="A41" s="39" t="s">
        <v>992</v>
      </c>
      <c r="B41" s="18">
        <f>B39+B40</f>
        <v>90108.792550000013</v>
      </c>
      <c r="C41" s="18">
        <f>SUM(C39:C40)</f>
        <v>170000</v>
      </c>
      <c r="D41" s="18">
        <f>SUM(D39:D40)</f>
        <v>154703.79255000001</v>
      </c>
      <c r="E41" s="18" t="str">
        <f>IF(E84&gt;E40,E40,E84)</f>
        <v>N/A</v>
      </c>
      <c r="F41" s="203" t="s">
        <v>995</v>
      </c>
      <c r="G41" s="203" t="s">
        <v>995</v>
      </c>
      <c r="H41" s="18"/>
      <c r="I41" s="608" t="s">
        <v>992</v>
      </c>
      <c r="J41" s="529"/>
      <c r="K41" s="18">
        <f>K39+K40</f>
        <v>113334</v>
      </c>
      <c r="L41" s="18">
        <f>SUM(L39:L40)</f>
        <v>113334</v>
      </c>
      <c r="M41" s="18">
        <f>SUM(M39:M40)</f>
        <v>113334</v>
      </c>
      <c r="N41" s="18">
        <f>SUM(N39:N40)</f>
        <v>50000</v>
      </c>
      <c r="O41" s="18">
        <f>SUM(O39:O40)</f>
        <v>50000</v>
      </c>
      <c r="P41" s="18">
        <f>SUM(P39:P40)</f>
        <v>50000</v>
      </c>
      <c r="R41" s="13"/>
      <c r="S41" s="37" t="s">
        <v>107</v>
      </c>
    </row>
    <row r="42" spans="1:19" x14ac:dyDescent="0.2">
      <c r="A42" s="39" t="s">
        <v>47</v>
      </c>
      <c r="B42" s="18">
        <f>IF(B84&gt;B39, B39,B84)</f>
        <v>4764.0420000000158</v>
      </c>
      <c r="C42" s="18">
        <f>IF(C84&gt;C78,C78,C84)</f>
        <v>1800.0019999999786</v>
      </c>
      <c r="D42" s="18">
        <f>IF(D84&gt;D78,D78,D84)</f>
        <v>65788.508000000002</v>
      </c>
      <c r="E42" s="203" t="s">
        <v>995</v>
      </c>
      <c r="F42" s="203" t="s">
        <v>995</v>
      </c>
      <c r="G42" s="203" t="s">
        <v>995</v>
      </c>
      <c r="H42" s="18"/>
      <c r="I42" s="608" t="s">
        <v>47</v>
      </c>
      <c r="J42" s="529"/>
      <c r="K42" s="18">
        <f t="shared" ref="K42:P42" si="6">IF(K84&gt;K78,K78,K84)</f>
        <v>56667</v>
      </c>
      <c r="L42" s="18">
        <f t="shared" si="6"/>
        <v>56667</v>
      </c>
      <c r="M42" s="18">
        <f t="shared" si="6"/>
        <v>56667</v>
      </c>
      <c r="N42" s="18">
        <f t="shared" si="6"/>
        <v>25000</v>
      </c>
      <c r="O42" s="18">
        <f t="shared" si="6"/>
        <v>25000</v>
      </c>
      <c r="P42" s="18">
        <f t="shared" si="6"/>
        <v>25000</v>
      </c>
      <c r="R42" s="13"/>
      <c r="S42" s="37"/>
    </row>
    <row r="43" spans="1:19" x14ac:dyDescent="0.2">
      <c r="A43" s="39" t="s">
        <v>479</v>
      </c>
      <c r="B43" s="18">
        <f>B42+B39</f>
        <v>89764.042000000016</v>
      </c>
      <c r="C43" s="18">
        <f>C42+C39</f>
        <v>86800.001999999979</v>
      </c>
      <c r="D43" s="18">
        <f>D42+D39</f>
        <v>150788.508</v>
      </c>
      <c r="E43" s="18" t="str">
        <f>IF(E86&gt;E42,E42,E86)</f>
        <v>N/A</v>
      </c>
      <c r="F43" s="203" t="s">
        <v>995</v>
      </c>
      <c r="G43" s="203" t="s">
        <v>995</v>
      </c>
      <c r="H43" s="18"/>
      <c r="I43" s="608" t="s">
        <v>479</v>
      </c>
      <c r="J43" s="529"/>
      <c r="K43" s="18">
        <f t="shared" ref="K43:P43" si="7">K42+K39</f>
        <v>113334</v>
      </c>
      <c r="L43" s="18">
        <f t="shared" si="7"/>
        <v>113334</v>
      </c>
      <c r="M43" s="18">
        <f t="shared" si="7"/>
        <v>113334</v>
      </c>
      <c r="N43" s="18">
        <f t="shared" si="7"/>
        <v>50000</v>
      </c>
      <c r="O43" s="18">
        <f t="shared" si="7"/>
        <v>50000</v>
      </c>
      <c r="P43" s="18">
        <f t="shared" si="7"/>
        <v>50000</v>
      </c>
      <c r="R43" s="13"/>
      <c r="S43" s="37" t="s">
        <v>108</v>
      </c>
    </row>
    <row r="44" spans="1:19" x14ac:dyDescent="0.2">
      <c r="A44" s="39" t="s">
        <v>39</v>
      </c>
      <c r="B44" s="18">
        <f>B41-(F74)</f>
        <v>67608.792550000013</v>
      </c>
      <c r="C44" s="18">
        <f>C41-E74</f>
        <v>170000</v>
      </c>
      <c r="D44" s="18">
        <f>D41-F74</f>
        <v>132203.79255000001</v>
      </c>
      <c r="E44" s="203" t="s">
        <v>995</v>
      </c>
      <c r="F44" s="203" t="s">
        <v>995</v>
      </c>
      <c r="G44" s="203" t="s">
        <v>995</v>
      </c>
      <c r="H44" s="18"/>
      <c r="I44" s="608" t="s">
        <v>39</v>
      </c>
      <c r="J44" s="529"/>
      <c r="K44" s="18">
        <f>K41-(F74)</f>
        <v>90834</v>
      </c>
      <c r="L44" s="18">
        <f>L41-H74</f>
        <v>29009.5</v>
      </c>
      <c r="M44" s="18">
        <f>M41-I74</f>
        <v>93167</v>
      </c>
      <c r="N44" s="18">
        <f>N41-L74</f>
        <v>50000</v>
      </c>
      <c r="O44" s="18">
        <f>O41-N74</f>
        <v>50000</v>
      </c>
      <c r="P44" s="18">
        <f>P41-P74</f>
        <v>3917</v>
      </c>
      <c r="R44" s="13"/>
      <c r="S44" s="37" t="s">
        <v>109</v>
      </c>
    </row>
    <row r="45" spans="1:19" ht="25.5" x14ac:dyDescent="0.2">
      <c r="A45" s="39" t="s">
        <v>799</v>
      </c>
      <c r="B45" s="415">
        <f>B43-(E54+F54)</f>
        <v>17264.042000000016</v>
      </c>
      <c r="C45" s="415">
        <f>C43-(G54+H54)</f>
        <v>14300.001999999979</v>
      </c>
      <c r="D45" s="38">
        <f>D43-(I54+J54)</f>
        <v>71622.508000000002</v>
      </c>
      <c r="E45" s="203" t="s">
        <v>995</v>
      </c>
      <c r="F45" s="414" t="s">
        <v>995</v>
      </c>
      <c r="G45" s="414" t="s">
        <v>995</v>
      </c>
      <c r="H45" s="217"/>
      <c r="I45" s="608" t="s">
        <v>799</v>
      </c>
      <c r="J45" s="529"/>
      <c r="K45" s="38">
        <f>K43-(E74+F74)</f>
        <v>90834</v>
      </c>
      <c r="L45" s="38">
        <f>L43-(H74+G74)</f>
        <v>29009.5</v>
      </c>
      <c r="M45" s="38">
        <f>M43-(I74+J74)</f>
        <v>52016.5</v>
      </c>
      <c r="N45" s="38">
        <f>N43-(K74+L74)</f>
        <v>50000</v>
      </c>
      <c r="O45" s="38">
        <f>O43-(M74+N74)</f>
        <v>50000</v>
      </c>
      <c r="P45" s="38">
        <f>P43-(O74+P74)</f>
        <v>3917</v>
      </c>
      <c r="R45" s="292"/>
      <c r="S45" s="291" t="s">
        <v>110</v>
      </c>
    </row>
    <row r="46" spans="1:19" ht="21" thickBot="1" x14ac:dyDescent="0.35">
      <c r="A46" s="39"/>
      <c r="B46" s="13"/>
      <c r="C46" s="13"/>
      <c r="D46" s="13"/>
      <c r="E46" s="14"/>
      <c r="F46" s="14"/>
      <c r="G46" s="14"/>
      <c r="H46" s="14"/>
      <c r="I46" s="14"/>
      <c r="J46" s="14"/>
      <c r="K46" s="14"/>
      <c r="L46" s="14"/>
      <c r="M46" s="14"/>
      <c r="N46" s="14"/>
      <c r="O46" s="14"/>
      <c r="P46" s="14"/>
      <c r="Q46" s="13"/>
      <c r="R46" s="13"/>
      <c r="S46" s="37"/>
    </row>
    <row r="47" spans="1:19" ht="51" x14ac:dyDescent="0.2">
      <c r="A47" s="19" t="s">
        <v>986</v>
      </c>
      <c r="B47" s="20" t="s">
        <v>34</v>
      </c>
      <c r="C47" s="20" t="s">
        <v>64</v>
      </c>
      <c r="D47" s="20" t="s">
        <v>63</v>
      </c>
      <c r="E47" s="20" t="s">
        <v>891</v>
      </c>
      <c r="F47" s="20" t="s">
        <v>892</v>
      </c>
      <c r="G47" s="20" t="s">
        <v>893</v>
      </c>
      <c r="H47" s="20" t="s">
        <v>894</v>
      </c>
      <c r="I47" s="20" t="s">
        <v>895</v>
      </c>
      <c r="J47" s="20" t="s">
        <v>896</v>
      </c>
      <c r="K47" s="20" t="s">
        <v>897</v>
      </c>
      <c r="L47" s="20" t="s">
        <v>898</v>
      </c>
      <c r="M47" s="20" t="s">
        <v>899</v>
      </c>
      <c r="N47" s="20" t="s">
        <v>900</v>
      </c>
      <c r="O47" s="20" t="s">
        <v>901</v>
      </c>
      <c r="P47" s="20" t="s">
        <v>902</v>
      </c>
      <c r="Q47" s="20" t="s">
        <v>40</v>
      </c>
      <c r="R47" s="20" t="s">
        <v>38</v>
      </c>
      <c r="S47" s="21" t="s">
        <v>5</v>
      </c>
    </row>
    <row r="48" spans="1:19" x14ac:dyDescent="0.2">
      <c r="A48" s="339" t="s">
        <v>987</v>
      </c>
      <c r="B48" s="135" t="s">
        <v>890</v>
      </c>
      <c r="C48" s="416">
        <v>75000</v>
      </c>
      <c r="D48" s="136" t="s">
        <v>1157</v>
      </c>
      <c r="E48" s="58">
        <v>19812.54</v>
      </c>
      <c r="F48" s="83"/>
      <c r="G48" s="82">
        <v>19812.54</v>
      </c>
      <c r="H48" s="82"/>
      <c r="I48" s="82">
        <v>32500</v>
      </c>
      <c r="J48" s="82"/>
      <c r="K48" s="82"/>
      <c r="L48" s="82"/>
      <c r="M48" s="82"/>
      <c r="N48" s="82"/>
      <c r="O48" s="82"/>
      <c r="P48" s="82"/>
      <c r="Q48" s="138"/>
      <c r="R48" s="135"/>
      <c r="S48" s="43" t="s">
        <v>1156</v>
      </c>
    </row>
    <row r="49" spans="1:19" x14ac:dyDescent="0.2">
      <c r="A49" s="150"/>
      <c r="B49" s="135" t="s">
        <v>1081</v>
      </c>
      <c r="C49" s="416">
        <v>52500</v>
      </c>
      <c r="D49" s="136">
        <v>45243</v>
      </c>
      <c r="E49" s="151">
        <f>19812.54-12500</f>
        <v>7312.5400000000009</v>
      </c>
      <c r="F49" s="82"/>
      <c r="G49" s="82">
        <f>19812.54-12500</f>
        <v>7312.5400000000009</v>
      </c>
      <c r="H49" s="82"/>
      <c r="I49" s="82">
        <v>10000</v>
      </c>
      <c r="J49" s="82"/>
      <c r="K49" s="82"/>
      <c r="L49" s="82"/>
      <c r="M49" s="82"/>
      <c r="N49" s="82"/>
      <c r="O49" s="82"/>
      <c r="P49" s="82"/>
      <c r="Q49" s="135"/>
      <c r="R49" s="135"/>
      <c r="S49" s="144" t="s">
        <v>1156</v>
      </c>
    </row>
    <row r="50" spans="1:19" x14ac:dyDescent="0.2">
      <c r="A50" s="150"/>
      <c r="B50" s="243" t="s">
        <v>1080</v>
      </c>
      <c r="C50" s="416">
        <v>80000</v>
      </c>
      <c r="D50" s="136" t="s">
        <v>1157</v>
      </c>
      <c r="E50" s="151">
        <v>24863.11</v>
      </c>
      <c r="F50" s="82"/>
      <c r="G50" s="126">
        <v>24863.11</v>
      </c>
      <c r="H50" s="126"/>
      <c r="I50" s="126">
        <v>26666</v>
      </c>
      <c r="J50" s="126"/>
      <c r="K50" s="126"/>
      <c r="L50" s="126"/>
      <c r="M50" s="126"/>
      <c r="N50" s="126"/>
      <c r="O50" s="126"/>
      <c r="P50" s="126"/>
      <c r="Q50" s="243"/>
      <c r="R50" s="243"/>
      <c r="S50" s="43" t="s">
        <v>1156</v>
      </c>
    </row>
    <row r="51" spans="1:19" x14ac:dyDescent="0.2">
      <c r="A51" s="150"/>
      <c r="B51" s="243" t="s">
        <v>618</v>
      </c>
      <c r="C51" s="416">
        <v>54000</v>
      </c>
      <c r="D51" s="245" t="s">
        <v>1157</v>
      </c>
      <c r="E51" s="151">
        <v>20511.810000000001</v>
      </c>
      <c r="F51" s="82"/>
      <c r="G51" s="126">
        <v>20511.810000000001</v>
      </c>
      <c r="H51" s="126"/>
      <c r="I51" s="126">
        <v>10000</v>
      </c>
      <c r="J51" s="126"/>
      <c r="K51" s="126"/>
      <c r="L51" s="126"/>
      <c r="M51" s="126"/>
      <c r="N51" s="126"/>
      <c r="O51" s="126"/>
      <c r="P51" s="126"/>
      <c r="Q51" s="243"/>
      <c r="R51" s="243"/>
      <c r="S51" s="43" t="s">
        <v>1156</v>
      </c>
    </row>
    <row r="52" spans="1:19" x14ac:dyDescent="0.2">
      <c r="A52" s="150"/>
      <c r="B52" s="243"/>
      <c r="C52" s="142"/>
      <c r="D52" s="245"/>
      <c r="E52" s="151"/>
      <c r="F52" s="82"/>
      <c r="G52" s="126"/>
      <c r="H52" s="126"/>
      <c r="I52" s="126"/>
      <c r="J52" s="126"/>
      <c r="K52" s="126"/>
      <c r="L52" s="126"/>
      <c r="M52" s="126"/>
      <c r="N52" s="126"/>
      <c r="O52" s="126"/>
      <c r="P52" s="126"/>
      <c r="Q52" s="243"/>
      <c r="R52" s="243"/>
      <c r="S52" s="144"/>
    </row>
    <row r="53" spans="1:19" x14ac:dyDescent="0.2">
      <c r="A53" s="150"/>
      <c r="B53" s="243"/>
      <c r="C53" s="142"/>
      <c r="D53" s="245"/>
      <c r="E53" s="151"/>
      <c r="F53" s="82"/>
      <c r="G53" s="126"/>
      <c r="H53" s="126"/>
      <c r="I53" s="126"/>
      <c r="J53" s="126"/>
      <c r="K53" s="126"/>
      <c r="L53" s="126"/>
      <c r="M53" s="126"/>
      <c r="N53" s="126"/>
      <c r="O53" s="126"/>
      <c r="P53" s="126"/>
      <c r="Q53" s="243"/>
      <c r="R53" s="243"/>
      <c r="S53" s="144"/>
    </row>
    <row r="54" spans="1:19" x14ac:dyDescent="0.2">
      <c r="A54" s="147" t="s">
        <v>43</v>
      </c>
      <c r="B54" s="290"/>
      <c r="C54" s="337">
        <f>SUM(C48:C53)</f>
        <v>261500</v>
      </c>
      <c r="D54" s="12"/>
      <c r="E54" s="315">
        <f>SUM(E48:E53)</f>
        <v>72500</v>
      </c>
      <c r="F54" s="315">
        <f t="shared" ref="F54:P54" si="8">SUM(F48:F53)</f>
        <v>0</v>
      </c>
      <c r="G54" s="315">
        <f t="shared" si="8"/>
        <v>72500</v>
      </c>
      <c r="H54" s="315">
        <f t="shared" si="8"/>
        <v>0</v>
      </c>
      <c r="I54" s="315">
        <f t="shared" si="8"/>
        <v>79166</v>
      </c>
      <c r="J54" s="315">
        <f t="shared" si="8"/>
        <v>0</v>
      </c>
      <c r="K54" s="315">
        <f t="shared" si="8"/>
        <v>0</v>
      </c>
      <c r="L54" s="315">
        <f t="shared" si="8"/>
        <v>0</v>
      </c>
      <c r="M54" s="315">
        <f t="shared" si="8"/>
        <v>0</v>
      </c>
      <c r="N54" s="315">
        <f t="shared" si="8"/>
        <v>0</v>
      </c>
      <c r="O54" s="315">
        <f t="shared" si="8"/>
        <v>0</v>
      </c>
      <c r="P54" s="315">
        <f t="shared" si="8"/>
        <v>0</v>
      </c>
      <c r="R54" s="11"/>
      <c r="S54" s="144"/>
    </row>
    <row r="55" spans="1:19" x14ac:dyDescent="0.2">
      <c r="A55" s="319"/>
      <c r="B55" s="333"/>
      <c r="C55" s="334"/>
      <c r="D55" s="335"/>
      <c r="E55" s="306"/>
      <c r="F55" s="306"/>
      <c r="G55" s="336"/>
      <c r="H55" s="336"/>
      <c r="I55" s="336"/>
      <c r="J55" s="336"/>
      <c r="K55" s="336"/>
      <c r="L55" s="336"/>
      <c r="M55" s="336"/>
      <c r="N55" s="336"/>
      <c r="O55" s="336"/>
      <c r="P55" s="336"/>
      <c r="Q55" s="313"/>
      <c r="R55" s="312"/>
      <c r="S55" s="307"/>
    </row>
    <row r="56" spans="1:19" x14ac:dyDescent="0.2">
      <c r="A56" s="340" t="s">
        <v>985</v>
      </c>
      <c r="B56" s="290"/>
      <c r="C56" s="142"/>
      <c r="D56" s="12"/>
      <c r="E56" s="82"/>
      <c r="F56" s="82"/>
      <c r="G56" s="126"/>
      <c r="H56" s="126"/>
      <c r="I56" s="126"/>
      <c r="J56" s="126"/>
      <c r="K56" s="126"/>
      <c r="L56" s="126"/>
      <c r="M56" s="126"/>
      <c r="N56" s="126"/>
      <c r="O56" s="126"/>
      <c r="P56" s="126"/>
      <c r="R56" s="11"/>
      <c r="S56" s="144"/>
    </row>
    <row r="57" spans="1:19" x14ac:dyDescent="0.2">
      <c r="A57" s="150"/>
      <c r="B57" s="290" t="s">
        <v>890</v>
      </c>
      <c r="C57" s="142">
        <v>50000</v>
      </c>
      <c r="D57" s="12">
        <v>45350</v>
      </c>
      <c r="E57" s="82"/>
      <c r="F57" s="82"/>
      <c r="G57" s="126"/>
      <c r="H57" s="126"/>
      <c r="I57" s="126"/>
      <c r="J57" s="126"/>
      <c r="K57" s="126"/>
      <c r="L57" s="126"/>
      <c r="M57" s="126"/>
      <c r="N57" s="126"/>
      <c r="O57" s="126"/>
      <c r="P57" s="126">
        <v>25000</v>
      </c>
      <c r="Q57" t="s">
        <v>1193</v>
      </c>
      <c r="R57" s="11" t="s">
        <v>1167</v>
      </c>
      <c r="S57" s="144"/>
    </row>
    <row r="58" spans="1:19" x14ac:dyDescent="0.2">
      <c r="A58" s="150"/>
      <c r="B58" s="290"/>
      <c r="C58" s="142"/>
      <c r="D58" s="12"/>
      <c r="E58" s="82"/>
      <c r="F58" s="82"/>
      <c r="G58" s="126"/>
      <c r="H58" s="126"/>
      <c r="I58" s="126"/>
      <c r="J58" s="126"/>
      <c r="K58" s="126"/>
      <c r="L58" s="126"/>
      <c r="M58" s="126"/>
      <c r="N58" s="126"/>
      <c r="O58" s="126"/>
      <c r="P58" s="126">
        <v>21083</v>
      </c>
      <c r="Q58" t="s">
        <v>1205</v>
      </c>
      <c r="R58" s="11" t="s">
        <v>1167</v>
      </c>
      <c r="S58" s="144" t="s">
        <v>1206</v>
      </c>
    </row>
    <row r="59" spans="1:19" x14ac:dyDescent="0.2">
      <c r="A59" s="150"/>
      <c r="B59" s="290"/>
      <c r="C59" s="142"/>
      <c r="D59" s="12"/>
      <c r="E59" s="82"/>
      <c r="F59" s="82"/>
      <c r="G59" s="126"/>
      <c r="H59" s="126"/>
      <c r="I59" s="126"/>
      <c r="J59" s="126">
        <v>9495</v>
      </c>
      <c r="K59" s="126"/>
      <c r="L59" s="126"/>
      <c r="M59" s="126"/>
      <c r="N59" s="126"/>
      <c r="O59" s="126"/>
      <c r="P59" s="126"/>
      <c r="Q59" s="463" t="s">
        <v>1220</v>
      </c>
      <c r="R59" s="11" t="s">
        <v>1152</v>
      </c>
      <c r="S59" s="144"/>
    </row>
    <row r="60" spans="1:19" x14ac:dyDescent="0.2">
      <c r="A60" s="150"/>
      <c r="B60" s="243" t="s">
        <v>890</v>
      </c>
      <c r="C60" s="142">
        <v>28090</v>
      </c>
      <c r="D60" s="12">
        <v>45411</v>
      </c>
      <c r="E60" s="82"/>
      <c r="F60" s="82"/>
      <c r="G60" s="246"/>
      <c r="H60" s="126">
        <v>14045</v>
      </c>
      <c r="I60" s="126"/>
      <c r="J60" s="126"/>
      <c r="K60" s="126"/>
      <c r="L60" s="126"/>
      <c r="M60" s="126"/>
      <c r="N60" s="126"/>
      <c r="O60" s="126"/>
      <c r="P60" s="126"/>
      <c r="Q60" t="s">
        <v>1195</v>
      </c>
      <c r="R60" s="11" t="s">
        <v>1161</v>
      </c>
      <c r="S60" s="144"/>
    </row>
    <row r="61" spans="1:19" x14ac:dyDescent="0.2">
      <c r="A61" s="150"/>
      <c r="B61" s="243"/>
      <c r="C61" s="142"/>
      <c r="D61" s="12"/>
      <c r="E61" s="82"/>
      <c r="F61" s="82"/>
      <c r="G61" s="246"/>
      <c r="H61" s="126">
        <v>13937</v>
      </c>
      <c r="I61" s="126"/>
      <c r="J61" s="126"/>
      <c r="K61" s="126"/>
      <c r="L61" s="126"/>
      <c r="M61" s="126"/>
      <c r="N61" s="126"/>
      <c r="O61" s="126"/>
      <c r="P61" s="126"/>
      <c r="Q61" t="s">
        <v>1243</v>
      </c>
      <c r="R61" s="11" t="s">
        <v>1161</v>
      </c>
      <c r="S61" s="144"/>
    </row>
    <row r="62" spans="1:19" x14ac:dyDescent="0.2">
      <c r="A62" s="150"/>
      <c r="B62" s="243" t="s">
        <v>618</v>
      </c>
      <c r="C62" s="142">
        <v>24541</v>
      </c>
      <c r="D62" s="12">
        <v>45411</v>
      </c>
      <c r="E62" s="82"/>
      <c r="F62" s="82"/>
      <c r="G62" s="126"/>
      <c r="H62" s="126">
        <v>12270.5</v>
      </c>
      <c r="I62" s="126"/>
      <c r="J62" s="126"/>
      <c r="K62" s="126"/>
      <c r="L62" s="126"/>
      <c r="M62" s="126"/>
      <c r="N62" s="126"/>
      <c r="O62" s="126"/>
      <c r="P62" s="126"/>
      <c r="Q62" t="s">
        <v>1195</v>
      </c>
      <c r="R62" s="11" t="s">
        <v>1161</v>
      </c>
      <c r="S62" s="144"/>
    </row>
    <row r="63" spans="1:19" x14ac:dyDescent="0.2">
      <c r="A63" s="150"/>
      <c r="B63" s="243"/>
      <c r="C63" s="142"/>
      <c r="D63" s="12"/>
      <c r="E63" s="82"/>
      <c r="F63" s="82"/>
      <c r="G63" s="246"/>
      <c r="H63" s="126"/>
      <c r="I63" s="126"/>
      <c r="J63" s="126">
        <v>7322</v>
      </c>
      <c r="K63" s="126"/>
      <c r="L63" s="126"/>
      <c r="M63" s="126"/>
      <c r="N63" s="126"/>
      <c r="O63" s="126"/>
      <c r="P63" s="126"/>
      <c r="Q63" s="463" t="s">
        <v>1220</v>
      </c>
      <c r="R63" s="11" t="s">
        <v>1152</v>
      </c>
      <c r="S63" s="144"/>
    </row>
    <row r="64" spans="1:19" x14ac:dyDescent="0.2">
      <c r="A64" s="150"/>
      <c r="B64" s="243"/>
      <c r="C64" s="142"/>
      <c r="D64" s="12"/>
      <c r="E64" s="82"/>
      <c r="F64" s="82"/>
      <c r="G64" s="246"/>
      <c r="H64" s="126">
        <v>11352</v>
      </c>
      <c r="I64" s="126"/>
      <c r="J64" s="126"/>
      <c r="K64" s="126"/>
      <c r="L64" s="126"/>
      <c r="M64" s="126"/>
      <c r="N64" s="126"/>
      <c r="O64" s="126"/>
      <c r="P64" s="126"/>
      <c r="Q64" s="463" t="s">
        <v>1243</v>
      </c>
      <c r="R64" s="11" t="s">
        <v>1161</v>
      </c>
      <c r="S64" s="144"/>
    </row>
    <row r="65" spans="1:20" x14ac:dyDescent="0.2">
      <c r="A65" s="150"/>
      <c r="B65" s="243" t="s">
        <v>1081</v>
      </c>
      <c r="C65" s="142">
        <v>18560</v>
      </c>
      <c r="D65" s="12">
        <v>45411</v>
      </c>
      <c r="E65" s="82"/>
      <c r="F65" s="82"/>
      <c r="G65" s="126"/>
      <c r="H65" s="126">
        <v>9280</v>
      </c>
      <c r="I65" s="126"/>
      <c r="J65" s="126"/>
      <c r="K65" s="126"/>
      <c r="L65" s="126"/>
      <c r="M65" s="126"/>
      <c r="N65" s="126"/>
      <c r="O65" s="126"/>
      <c r="P65" s="126"/>
      <c r="Q65" t="s">
        <v>1195</v>
      </c>
      <c r="R65" s="11" t="s">
        <v>1161</v>
      </c>
      <c r="S65" s="144"/>
    </row>
    <row r="66" spans="1:20" x14ac:dyDescent="0.2">
      <c r="A66" s="150"/>
      <c r="B66" s="243"/>
      <c r="C66" s="142"/>
      <c r="D66" s="12"/>
      <c r="E66" s="82"/>
      <c r="F66" s="82"/>
      <c r="G66" s="126"/>
      <c r="H66" s="126"/>
      <c r="I66" s="126"/>
      <c r="J66" s="126">
        <v>4166.5</v>
      </c>
      <c r="K66" s="126"/>
      <c r="L66" s="126"/>
      <c r="M66" s="126"/>
      <c r="N66" s="126"/>
      <c r="O66" s="126"/>
      <c r="P66" s="126"/>
      <c r="Q66" s="463" t="s">
        <v>1220</v>
      </c>
      <c r="R66" s="11" t="s">
        <v>1152</v>
      </c>
      <c r="S66" s="144"/>
    </row>
    <row r="67" spans="1:20" x14ac:dyDescent="0.2">
      <c r="A67" s="150"/>
      <c r="B67" s="243"/>
      <c r="C67" s="142"/>
      <c r="D67" s="12"/>
      <c r="E67" s="82"/>
      <c r="F67" s="82"/>
      <c r="G67" s="126"/>
      <c r="H67" s="126">
        <v>9730</v>
      </c>
      <c r="I67" s="126"/>
      <c r="J67" s="126"/>
      <c r="K67" s="126"/>
      <c r="L67" s="126"/>
      <c r="M67" s="126"/>
      <c r="N67" s="126"/>
      <c r="O67" s="126"/>
      <c r="P67" s="126"/>
      <c r="Q67" s="463" t="s">
        <v>1243</v>
      </c>
      <c r="R67" s="11" t="s">
        <v>1161</v>
      </c>
      <c r="S67" s="144"/>
    </row>
    <row r="68" spans="1:20" ht="38.25" x14ac:dyDescent="0.2">
      <c r="A68" s="150"/>
      <c r="B68" s="243" t="s">
        <v>890</v>
      </c>
      <c r="C68" s="142">
        <v>18523</v>
      </c>
      <c r="D68" s="413" t="s">
        <v>1194</v>
      </c>
      <c r="E68" s="82"/>
      <c r="F68" s="82"/>
      <c r="G68" s="126"/>
      <c r="H68" s="126"/>
      <c r="I68" s="126">
        <v>9261.5</v>
      </c>
      <c r="J68" s="126">
        <v>9261.5</v>
      </c>
      <c r="K68" s="126"/>
      <c r="L68" s="126"/>
      <c r="M68" s="126"/>
      <c r="N68" s="126"/>
      <c r="O68" s="126"/>
      <c r="P68" s="126"/>
      <c r="Q68" t="s">
        <v>1196</v>
      </c>
      <c r="R68" s="11" t="s">
        <v>1152</v>
      </c>
      <c r="S68" s="144"/>
    </row>
    <row r="69" spans="1:20" ht="38.25" x14ac:dyDescent="0.2">
      <c r="A69" s="150"/>
      <c r="B69" s="243" t="s">
        <v>618</v>
      </c>
      <c r="C69" s="142">
        <v>13478</v>
      </c>
      <c r="D69" s="413" t="s">
        <v>1194</v>
      </c>
      <c r="E69" s="82"/>
      <c r="F69" s="82"/>
      <c r="G69" s="126"/>
      <c r="H69" s="126"/>
      <c r="I69" s="126">
        <v>6739</v>
      </c>
      <c r="J69" s="126">
        <v>6739</v>
      </c>
      <c r="K69" s="126"/>
      <c r="L69" s="126"/>
      <c r="M69" s="126"/>
      <c r="N69" s="126"/>
      <c r="O69" s="126"/>
      <c r="P69" s="126"/>
      <c r="Q69" t="s">
        <v>1196</v>
      </c>
      <c r="R69" s="11" t="s">
        <v>1152</v>
      </c>
      <c r="S69" s="144"/>
    </row>
    <row r="70" spans="1:20" ht="38.25" x14ac:dyDescent="0.2">
      <c r="A70" s="150"/>
      <c r="B70" s="243" t="s">
        <v>1081</v>
      </c>
      <c r="C70" s="142">
        <v>8333</v>
      </c>
      <c r="D70" s="413" t="s">
        <v>1194</v>
      </c>
      <c r="E70" s="82"/>
      <c r="F70" s="82"/>
      <c r="G70" s="126"/>
      <c r="H70" s="126"/>
      <c r="I70" s="126">
        <v>4166.5</v>
      </c>
      <c r="J70" s="126">
        <v>4166.5</v>
      </c>
      <c r="K70" s="126"/>
      <c r="L70" s="126"/>
      <c r="M70" s="126"/>
      <c r="N70" s="126"/>
      <c r="O70" s="126"/>
      <c r="P70" s="126"/>
      <c r="Q70" t="s">
        <v>1196</v>
      </c>
      <c r="R70" s="11" t="s">
        <v>1152</v>
      </c>
      <c r="S70" s="144"/>
    </row>
    <row r="71" spans="1:20" x14ac:dyDescent="0.2">
      <c r="A71" s="150"/>
      <c r="B71" s="243" t="s">
        <v>1081</v>
      </c>
      <c r="C71" s="142">
        <v>45000</v>
      </c>
      <c r="D71" s="12">
        <v>45429</v>
      </c>
      <c r="E71" s="82"/>
      <c r="F71" s="82">
        <v>22500</v>
      </c>
      <c r="G71" s="126"/>
      <c r="H71" s="126"/>
      <c r="I71" s="126"/>
      <c r="J71" s="126"/>
      <c r="K71" s="126"/>
      <c r="L71" s="126"/>
      <c r="M71" s="126"/>
      <c r="N71" s="126"/>
      <c r="O71" s="126"/>
      <c r="P71" s="126"/>
      <c r="Q71" t="s">
        <v>1197</v>
      </c>
      <c r="R71" s="11" t="s">
        <v>1183</v>
      </c>
      <c r="S71" s="144"/>
    </row>
    <row r="72" spans="1:20" x14ac:dyDescent="0.2">
      <c r="A72" s="150"/>
      <c r="B72" s="243"/>
      <c r="C72" s="142"/>
      <c r="D72" s="12"/>
      <c r="E72" s="82"/>
      <c r="F72" s="468">
        <v>27600</v>
      </c>
      <c r="G72" s="126"/>
      <c r="H72" s="126"/>
      <c r="I72" s="126"/>
      <c r="J72" s="126"/>
      <c r="K72" s="126"/>
      <c r="L72" s="126"/>
      <c r="M72" s="126"/>
      <c r="N72" s="126"/>
      <c r="O72" s="126"/>
      <c r="P72" s="126"/>
      <c r="R72" s="11"/>
      <c r="S72" s="144"/>
    </row>
    <row r="73" spans="1:20" x14ac:dyDescent="0.2">
      <c r="A73" s="150"/>
      <c r="B73" s="243" t="s">
        <v>1217</v>
      </c>
      <c r="C73" s="142">
        <v>39920</v>
      </c>
      <c r="D73" s="461" t="s">
        <v>1218</v>
      </c>
      <c r="E73" s="82"/>
      <c r="F73" s="82"/>
      <c r="G73" s="126"/>
      <c r="H73" s="126">
        <v>13710</v>
      </c>
      <c r="I73" s="126"/>
      <c r="J73" s="126"/>
      <c r="K73" s="126"/>
      <c r="L73" s="126"/>
      <c r="M73" s="126"/>
      <c r="N73" s="126"/>
      <c r="O73" s="126"/>
      <c r="P73" s="126"/>
      <c r="R73" s="11"/>
      <c r="S73" s="144"/>
    </row>
    <row r="74" spans="1:20" ht="13.5" thickBot="1" x14ac:dyDescent="0.25">
      <c r="A74" s="338" t="s">
        <v>43</v>
      </c>
      <c r="B74" s="29"/>
      <c r="C74" s="299">
        <f>SUM(C56:C73)</f>
        <v>246445</v>
      </c>
      <c r="D74" s="29"/>
      <c r="E74" s="56">
        <f>SUM(E56:E71)</f>
        <v>0</v>
      </c>
      <c r="F74" s="56">
        <f>SUM(F56:F71)</f>
        <v>22500</v>
      </c>
      <c r="G74" s="56">
        <f>SUM(G56:G65)</f>
        <v>0</v>
      </c>
      <c r="H74" s="56">
        <f>SUM(H56:H73)</f>
        <v>84324.5</v>
      </c>
      <c r="I74" s="56">
        <f>SUM(I56:I70)</f>
        <v>20167</v>
      </c>
      <c r="J74" s="56">
        <f>SUM(J56:J70)</f>
        <v>41150.5</v>
      </c>
      <c r="K74" s="56">
        <f t="shared" ref="K74:P74" si="9">SUM(K56:K65)</f>
        <v>0</v>
      </c>
      <c r="L74" s="56">
        <f t="shared" si="9"/>
        <v>0</v>
      </c>
      <c r="M74" s="56">
        <f t="shared" si="9"/>
        <v>0</v>
      </c>
      <c r="N74" s="56">
        <f t="shared" si="9"/>
        <v>0</v>
      </c>
      <c r="O74" s="56">
        <f t="shared" si="9"/>
        <v>0</v>
      </c>
      <c r="P74" s="56">
        <f t="shared" si="9"/>
        <v>46083</v>
      </c>
      <c r="Q74" s="29"/>
      <c r="R74" s="29"/>
      <c r="S74" s="30"/>
    </row>
    <row r="75" spans="1:20" ht="13.5" thickBot="1" x14ac:dyDescent="0.25"/>
    <row r="76" spans="1:20" ht="21" thickBot="1" x14ac:dyDescent="0.25">
      <c r="A76" s="550" t="s">
        <v>988</v>
      </c>
      <c r="B76" s="551"/>
      <c r="C76" s="551"/>
      <c r="D76" s="551"/>
      <c r="E76" s="551"/>
      <c r="F76" s="551"/>
      <c r="G76" s="551"/>
      <c r="H76" s="551"/>
      <c r="I76" s="551"/>
      <c r="J76" s="551"/>
      <c r="K76" s="551"/>
      <c r="L76" s="551"/>
      <c r="M76" s="551"/>
      <c r="N76" s="551"/>
      <c r="O76" s="551"/>
      <c r="P76" s="551"/>
      <c r="Q76" s="551"/>
      <c r="R76" s="551"/>
      <c r="S76" s="552"/>
    </row>
    <row r="77" spans="1:20" x14ac:dyDescent="0.2">
      <c r="A77" s="332" t="s">
        <v>984</v>
      </c>
      <c r="B77" s="13" t="s">
        <v>52</v>
      </c>
      <c r="C77" s="13" t="s">
        <v>53</v>
      </c>
      <c r="D77" s="13" t="s">
        <v>14</v>
      </c>
      <c r="E77" s="13" t="s">
        <v>56</v>
      </c>
      <c r="F77" s="13" t="s">
        <v>55</v>
      </c>
      <c r="G77" s="13" t="s">
        <v>101</v>
      </c>
      <c r="H77" s="13"/>
      <c r="I77" s="609" t="s">
        <v>985</v>
      </c>
      <c r="J77" s="610"/>
      <c r="K77" s="13" t="s">
        <v>52</v>
      </c>
      <c r="L77" s="13" t="s">
        <v>53</v>
      </c>
      <c r="M77" s="13" t="s">
        <v>14</v>
      </c>
      <c r="N77" s="13" t="s">
        <v>56</v>
      </c>
      <c r="O77" s="13" t="s">
        <v>55</v>
      </c>
      <c r="P77" s="13" t="s">
        <v>101</v>
      </c>
      <c r="R77" s="13"/>
      <c r="S77" s="298"/>
    </row>
    <row r="78" spans="1:20" x14ac:dyDescent="0.2">
      <c r="A78" s="39" t="s">
        <v>971</v>
      </c>
      <c r="B78" s="18">
        <v>85000</v>
      </c>
      <c r="C78" s="18">
        <v>85000</v>
      </c>
      <c r="D78" s="18">
        <v>85000</v>
      </c>
      <c r="E78" s="18" t="s">
        <v>995</v>
      </c>
      <c r="F78" s="18" t="s">
        <v>995</v>
      </c>
      <c r="G78" s="18" t="s">
        <v>995</v>
      </c>
      <c r="H78" s="18"/>
      <c r="I78" s="608" t="s">
        <v>971</v>
      </c>
      <c r="J78" s="529"/>
      <c r="K78" s="18">
        <v>56667</v>
      </c>
      <c r="L78" s="18">
        <v>56667</v>
      </c>
      <c r="M78" s="18">
        <v>56667</v>
      </c>
      <c r="N78" s="18">
        <v>25000</v>
      </c>
      <c r="O78" s="18">
        <v>25000</v>
      </c>
      <c r="P78" s="18">
        <v>25000</v>
      </c>
      <c r="R78" s="292">
        <f>SUM(B78:P78)</f>
        <v>500001</v>
      </c>
      <c r="S78" s="37"/>
      <c r="T78" s="40"/>
    </row>
    <row r="79" spans="1:20" x14ac:dyDescent="0.2">
      <c r="A79" s="39" t="s">
        <v>36</v>
      </c>
      <c r="B79" s="18">
        <f>0.6*B114</f>
        <v>70205.792549999998</v>
      </c>
      <c r="C79" s="18">
        <f>0.6*C114</f>
        <v>84655.449449999986</v>
      </c>
      <c r="D79" s="18">
        <f>0.6*D114</f>
        <v>70205.792549999998</v>
      </c>
      <c r="E79" s="18" t="s">
        <v>995</v>
      </c>
      <c r="F79" s="18" t="s">
        <v>995</v>
      </c>
      <c r="G79" s="18" t="s">
        <v>995</v>
      </c>
      <c r="H79" s="18" t="s">
        <v>1003</v>
      </c>
      <c r="I79" s="608" t="s">
        <v>36</v>
      </c>
      <c r="J79" s="529"/>
      <c r="K79" s="18">
        <f>IF((0.4*B114)&gt;K78,K78,(0.4*B114))</f>
        <v>46803.861700000001</v>
      </c>
      <c r="L79" s="18">
        <f>IF((0.4*C114)&gt;L78,L78,(0.4*C114))</f>
        <v>56436.9663</v>
      </c>
      <c r="M79" s="18">
        <f>IF((0.4*D114)&gt;M78,M78,(0.4*D114))</f>
        <v>46803.861700000001</v>
      </c>
      <c r="N79" s="18">
        <f>IF((0.4*E114)&gt;N78,N78,(0.4*E114))</f>
        <v>10000</v>
      </c>
      <c r="O79" s="18">
        <f t="shared" ref="O79:P79" si="10">IF((0.4*F114)&gt;O78,O78,(0.4*F114))</f>
        <v>10000</v>
      </c>
      <c r="P79" s="18">
        <f t="shared" si="10"/>
        <v>10000</v>
      </c>
      <c r="R79" s="13"/>
      <c r="S79" s="342" t="s">
        <v>1002</v>
      </c>
      <c r="T79" s="40"/>
    </row>
    <row r="80" spans="1:20" x14ac:dyDescent="0.2">
      <c r="A80" s="39" t="s">
        <v>969</v>
      </c>
      <c r="B80" s="18">
        <f>B78+B79</f>
        <v>155205.79255000001</v>
      </c>
      <c r="C80" s="18">
        <f>SUM(C78:C79)</f>
        <v>169655.44944999999</v>
      </c>
      <c r="D80" s="18">
        <f>SUM(D78:D79)</f>
        <v>155205.79255000001</v>
      </c>
      <c r="E80" s="18" t="s">
        <v>995</v>
      </c>
      <c r="F80" s="18" t="s">
        <v>995</v>
      </c>
      <c r="G80" s="18" t="s">
        <v>995</v>
      </c>
      <c r="H80" s="18"/>
      <c r="I80" s="608" t="s">
        <v>969</v>
      </c>
      <c r="J80" s="529"/>
      <c r="K80" s="18">
        <f>K78+K79</f>
        <v>103470.86170000001</v>
      </c>
      <c r="L80" s="18">
        <f>SUM(L78:L79)</f>
        <v>113103.9663</v>
      </c>
      <c r="M80" s="18">
        <f>SUM(M78:M79)</f>
        <v>103470.86170000001</v>
      </c>
      <c r="N80" s="18">
        <f>SUM(N78:N79)</f>
        <v>35000</v>
      </c>
      <c r="O80" s="18">
        <f>SUM(O78:O79)</f>
        <v>35000</v>
      </c>
      <c r="P80" s="18">
        <f>SUM(P78:P79)</f>
        <v>35000</v>
      </c>
      <c r="R80" s="13"/>
      <c r="S80" s="37" t="s">
        <v>107</v>
      </c>
    </row>
    <row r="81" spans="1:19" x14ac:dyDescent="0.2">
      <c r="A81" s="39" t="s">
        <v>47</v>
      </c>
      <c r="B81" s="18">
        <f>0.6*B115</f>
        <v>69861.042000000001</v>
      </c>
      <c r="C81" s="18">
        <f>IF((C115-L81)&gt;C78,C78,(C115-L81))</f>
        <v>57802.811999999991</v>
      </c>
      <c r="D81" s="18">
        <f>IF((D115-M81)&gt;D78,D78,(D115-M81))</f>
        <v>66290.508000000002</v>
      </c>
      <c r="E81" s="18" t="s">
        <v>995</v>
      </c>
      <c r="F81" s="18" t="s">
        <v>995</v>
      </c>
      <c r="G81" s="18" t="s">
        <v>995</v>
      </c>
      <c r="H81" s="18"/>
      <c r="I81" s="608" t="s">
        <v>47</v>
      </c>
      <c r="J81" s="529"/>
      <c r="K81" s="18">
        <f>IF((0.4*B115)&gt;K78,K78,(0.4*B115))</f>
        <v>46574.028000000006</v>
      </c>
      <c r="L81" s="18">
        <f>IF((0.4*C115)&gt;L78,L78,(0.4*C115))</f>
        <v>38535.207999999999</v>
      </c>
      <c r="M81" s="18">
        <f>IF((0.4*D115)&gt;M78,M78,(0.4*D115))</f>
        <v>44193.671999999999</v>
      </c>
      <c r="N81" s="18">
        <f>IF((0.4*E115)&gt;N78,N78,(0.4*E115))</f>
        <v>8940.5020000000004</v>
      </c>
      <c r="O81" s="18">
        <f t="shared" ref="O81:P81" si="11">IF((0.4*F115)&gt;O78,O78,(0.4*F115))</f>
        <v>8940.5020000000004</v>
      </c>
      <c r="P81" s="18">
        <f t="shared" si="11"/>
        <v>8940.5020000000004</v>
      </c>
      <c r="R81" s="13"/>
      <c r="S81" s="37"/>
    </row>
    <row r="82" spans="1:19" x14ac:dyDescent="0.2">
      <c r="A82" s="39" t="s">
        <v>479</v>
      </c>
      <c r="B82" s="18">
        <f>B81+B78</f>
        <v>154861.04200000002</v>
      </c>
      <c r="C82" s="18">
        <f>C81+C78</f>
        <v>142802.81199999998</v>
      </c>
      <c r="D82" s="18">
        <f>D81+D78</f>
        <v>151290.508</v>
      </c>
      <c r="E82" s="18" t="s">
        <v>995</v>
      </c>
      <c r="F82" s="18" t="s">
        <v>995</v>
      </c>
      <c r="G82" s="18" t="s">
        <v>995</v>
      </c>
      <c r="H82" s="18"/>
      <c r="I82" s="608" t="s">
        <v>479</v>
      </c>
      <c r="J82" s="529"/>
      <c r="K82" s="18">
        <f t="shared" ref="K82:P82" si="12">K81+K78</f>
        <v>103241.02800000001</v>
      </c>
      <c r="L82" s="18">
        <f t="shared" si="12"/>
        <v>95202.207999999999</v>
      </c>
      <c r="M82" s="18">
        <f t="shared" si="12"/>
        <v>100860.67199999999</v>
      </c>
      <c r="N82" s="18">
        <f t="shared" si="12"/>
        <v>33940.502</v>
      </c>
      <c r="O82" s="18">
        <f t="shared" si="12"/>
        <v>33940.502</v>
      </c>
      <c r="P82" s="18">
        <f t="shared" si="12"/>
        <v>33940.502</v>
      </c>
      <c r="R82" s="13"/>
      <c r="S82" s="37" t="s">
        <v>108</v>
      </c>
    </row>
    <row r="83" spans="1:19" x14ac:dyDescent="0.2">
      <c r="A83" s="39" t="s">
        <v>39</v>
      </c>
      <c r="B83" s="18">
        <f>B80-(F95)</f>
        <v>5108.7925500000129</v>
      </c>
      <c r="C83" s="18">
        <f>C80-E95</f>
        <v>169655.44944999999</v>
      </c>
      <c r="D83" s="18">
        <f>D80-J95</f>
        <v>69703.792550000013</v>
      </c>
      <c r="E83" s="18" t="s">
        <v>995</v>
      </c>
      <c r="F83" s="18" t="s">
        <v>995</v>
      </c>
      <c r="G83" s="18" t="s">
        <v>995</v>
      </c>
      <c r="H83" s="18"/>
      <c r="I83" s="608" t="s">
        <v>39</v>
      </c>
      <c r="J83" s="529"/>
      <c r="K83" s="18">
        <f>K80-(F105)</f>
        <v>73788.361700000009</v>
      </c>
      <c r="L83" s="18">
        <f>L80-(H105)</f>
        <v>89658.9663</v>
      </c>
      <c r="M83" s="18">
        <f>M80-J105</f>
        <v>103470.86170000001</v>
      </c>
      <c r="N83" s="18">
        <f>N80-L105</f>
        <v>35000</v>
      </c>
      <c r="O83" s="18">
        <f>O80-L105</f>
        <v>35000</v>
      </c>
      <c r="P83" s="18">
        <f>P80-P105</f>
        <v>35000</v>
      </c>
      <c r="R83" s="13"/>
      <c r="S83" s="37" t="s">
        <v>109</v>
      </c>
    </row>
    <row r="84" spans="1:19" ht="25.5" x14ac:dyDescent="0.2">
      <c r="A84" s="39" t="s">
        <v>799</v>
      </c>
      <c r="B84" s="38">
        <f>B82-(E95+F95)</f>
        <v>4764.0420000000158</v>
      </c>
      <c r="C84" s="38">
        <f>C82-(G95+H95)</f>
        <v>1800.0019999999786</v>
      </c>
      <c r="D84" s="38">
        <f>D82-(I95+J95)</f>
        <v>65788.508000000002</v>
      </c>
      <c r="E84" s="18" t="s">
        <v>995</v>
      </c>
      <c r="F84" s="18" t="s">
        <v>995</v>
      </c>
      <c r="G84" s="18" t="s">
        <v>995</v>
      </c>
      <c r="H84" s="217"/>
      <c r="I84" s="608" t="s">
        <v>799</v>
      </c>
      <c r="J84" s="529"/>
      <c r="K84" s="38">
        <f>K82-(E105+F105)</f>
        <v>67696.028000000006</v>
      </c>
      <c r="L84" s="38">
        <f>L82-(G105+H105)</f>
        <v>71757.207999999999</v>
      </c>
      <c r="M84" s="38">
        <f>M82-(I105+J105)</f>
        <v>100860.67199999999</v>
      </c>
      <c r="N84" s="38">
        <f>N82-(K105+L105)</f>
        <v>33940.502</v>
      </c>
      <c r="O84" s="38">
        <f>O82-(M105+N105)</f>
        <v>33940.502</v>
      </c>
      <c r="P84" s="38">
        <f>P82-(O105+P105)</f>
        <v>33940.502</v>
      </c>
      <c r="R84" s="292"/>
      <c r="S84" s="291" t="s">
        <v>110</v>
      </c>
    </row>
    <row r="85" spans="1:19" ht="21" thickBot="1" x14ac:dyDescent="0.35">
      <c r="A85" s="39"/>
      <c r="B85" s="13"/>
      <c r="C85" s="13"/>
      <c r="D85" s="13"/>
      <c r="E85" s="14"/>
      <c r="F85" s="14"/>
      <c r="G85" s="14"/>
      <c r="H85" s="14"/>
      <c r="I85" s="14"/>
      <c r="J85" s="14"/>
      <c r="K85" s="14"/>
      <c r="L85" s="14"/>
      <c r="M85" s="14"/>
      <c r="N85" s="14"/>
      <c r="O85" s="14"/>
      <c r="P85" s="14"/>
      <c r="Q85" s="13"/>
      <c r="R85" s="13"/>
      <c r="S85" s="37"/>
    </row>
    <row r="86" spans="1:19" ht="51" x14ac:dyDescent="0.2">
      <c r="A86" s="19" t="s">
        <v>986</v>
      </c>
      <c r="B86" s="20" t="s">
        <v>34</v>
      </c>
      <c r="C86" s="20" t="s">
        <v>64</v>
      </c>
      <c r="D86" s="20" t="s">
        <v>63</v>
      </c>
      <c r="E86" s="20" t="s">
        <v>891</v>
      </c>
      <c r="F86" s="20" t="s">
        <v>892</v>
      </c>
      <c r="G86" s="20" t="s">
        <v>893</v>
      </c>
      <c r="H86" s="20" t="s">
        <v>894</v>
      </c>
      <c r="I86" s="20" t="s">
        <v>895</v>
      </c>
      <c r="J86" s="20" t="s">
        <v>896</v>
      </c>
      <c r="K86" s="20" t="s">
        <v>897</v>
      </c>
      <c r="L86" s="20" t="s">
        <v>898</v>
      </c>
      <c r="M86" s="20" t="s">
        <v>899</v>
      </c>
      <c r="N86" s="20" t="s">
        <v>900</v>
      </c>
      <c r="O86" s="20" t="s">
        <v>901</v>
      </c>
      <c r="P86" s="20" t="s">
        <v>902</v>
      </c>
      <c r="Q86" s="20" t="s">
        <v>40</v>
      </c>
      <c r="R86" s="20" t="s">
        <v>38</v>
      </c>
      <c r="S86" s="21" t="s">
        <v>5</v>
      </c>
    </row>
    <row r="87" spans="1:19" x14ac:dyDescent="0.2">
      <c r="A87" s="339" t="s">
        <v>987</v>
      </c>
      <c r="B87" s="135" t="s">
        <v>890</v>
      </c>
      <c r="C87" s="142">
        <f>SUM(E87+G87+I87)</f>
        <v>0</v>
      </c>
      <c r="D87" s="136" t="s">
        <v>1082</v>
      </c>
      <c r="E87" s="58"/>
      <c r="F87" s="58">
        <v>62889</v>
      </c>
      <c r="G87" s="82"/>
      <c r="H87" s="82">
        <v>21310</v>
      </c>
      <c r="I87" s="82"/>
      <c r="J87" s="82">
        <v>37168</v>
      </c>
      <c r="K87" s="82"/>
      <c r="L87" s="82"/>
      <c r="M87" s="82"/>
      <c r="N87" s="82"/>
      <c r="O87" s="82"/>
      <c r="P87" s="82"/>
      <c r="Q87" s="138"/>
      <c r="R87" s="135"/>
      <c r="S87" s="43"/>
    </row>
    <row r="88" spans="1:19" x14ac:dyDescent="0.2">
      <c r="A88" s="150"/>
      <c r="B88" s="135" t="s">
        <v>1078</v>
      </c>
      <c r="C88" s="142">
        <f>G88</f>
        <v>0</v>
      </c>
      <c r="D88" s="136" t="s">
        <v>1082</v>
      </c>
      <c r="E88" s="151"/>
      <c r="F88" s="151"/>
      <c r="G88" s="82"/>
      <c r="H88" s="82">
        <v>34284.81</v>
      </c>
      <c r="I88" s="82"/>
      <c r="J88" s="82"/>
      <c r="K88" s="82"/>
      <c r="L88" s="82"/>
      <c r="M88" s="82"/>
      <c r="N88" s="82"/>
      <c r="O88" s="82"/>
      <c r="P88" s="82"/>
      <c r="Q88" s="135"/>
      <c r="R88" s="135"/>
      <c r="S88" s="144"/>
    </row>
    <row r="89" spans="1:19" x14ac:dyDescent="0.2">
      <c r="A89" s="150"/>
      <c r="B89" s="243" t="s">
        <v>1078</v>
      </c>
      <c r="C89" s="142"/>
      <c r="D89" s="245">
        <v>45247</v>
      </c>
      <c r="E89" s="151"/>
      <c r="F89" s="151"/>
      <c r="G89" s="126"/>
      <c r="H89" s="126">
        <v>-1500</v>
      </c>
      <c r="I89" s="126"/>
      <c r="J89" s="126"/>
      <c r="K89" s="126"/>
      <c r="L89" s="126"/>
      <c r="M89" s="126"/>
      <c r="N89" s="126"/>
      <c r="O89" s="126"/>
      <c r="P89" s="126"/>
      <c r="Q89" s="243"/>
      <c r="R89" s="243" t="s">
        <v>1124</v>
      </c>
      <c r="S89" s="144" t="s">
        <v>1135</v>
      </c>
    </row>
    <row r="90" spans="1:19" x14ac:dyDescent="0.2">
      <c r="A90" s="150"/>
      <c r="B90" s="243" t="s">
        <v>1078</v>
      </c>
      <c r="C90" s="142"/>
      <c r="D90" s="245">
        <v>45250</v>
      </c>
      <c r="E90" s="151"/>
      <c r="F90" s="151"/>
      <c r="G90" s="126"/>
      <c r="H90" s="126">
        <v>-300</v>
      </c>
      <c r="I90" s="126"/>
      <c r="J90" s="126"/>
      <c r="K90" s="126"/>
      <c r="L90" s="126"/>
      <c r="M90" s="126"/>
      <c r="N90" s="126"/>
      <c r="O90" s="126"/>
      <c r="P90" s="126"/>
      <c r="Q90" s="243"/>
      <c r="R90" s="243" t="s">
        <v>1124</v>
      </c>
      <c r="S90" s="144"/>
    </row>
    <row r="91" spans="1:19" x14ac:dyDescent="0.2">
      <c r="A91" s="150"/>
      <c r="B91" s="243" t="s">
        <v>618</v>
      </c>
      <c r="C91" s="142">
        <f>SUM(E91+G91+I91)</f>
        <v>0</v>
      </c>
      <c r="D91" s="245" t="s">
        <v>1082</v>
      </c>
      <c r="E91" s="151"/>
      <c r="F91" s="151">
        <v>25500</v>
      </c>
      <c r="G91" s="126"/>
      <c r="H91" s="126">
        <v>25500</v>
      </c>
      <c r="I91" s="126"/>
      <c r="J91" s="126">
        <v>15000</v>
      </c>
      <c r="K91" s="126"/>
      <c r="L91" s="126"/>
      <c r="M91" s="126"/>
      <c r="N91" s="126"/>
      <c r="O91" s="126"/>
      <c r="P91" s="126"/>
      <c r="Q91" s="243"/>
      <c r="R91" s="243"/>
      <c r="S91" s="144"/>
    </row>
    <row r="92" spans="1:19" x14ac:dyDescent="0.2">
      <c r="A92" s="150"/>
      <c r="B92" s="243" t="s">
        <v>1080</v>
      </c>
      <c r="C92" s="142">
        <f>SUM(E92+G92+I92)</f>
        <v>0</v>
      </c>
      <c r="D92" s="245" t="s">
        <v>1082</v>
      </c>
      <c r="E92" s="151"/>
      <c r="F92" s="151">
        <v>33333</v>
      </c>
      <c r="G92" s="126"/>
      <c r="H92" s="126">
        <v>33333</v>
      </c>
      <c r="I92" s="126"/>
      <c r="J92" s="126">
        <v>33334</v>
      </c>
      <c r="K92" s="126"/>
      <c r="L92" s="126"/>
      <c r="M92" s="126"/>
      <c r="N92" s="126"/>
      <c r="O92" s="126"/>
      <c r="P92" s="126"/>
      <c r="Q92" s="243"/>
      <c r="R92" s="243"/>
      <c r="S92" s="144"/>
    </row>
    <row r="93" spans="1:19" x14ac:dyDescent="0.2">
      <c r="A93" s="150"/>
      <c r="B93" s="243" t="s">
        <v>1081</v>
      </c>
      <c r="C93" s="142">
        <f>SUM(E93+G93)</f>
        <v>0</v>
      </c>
      <c r="D93" s="245" t="s">
        <v>1082</v>
      </c>
      <c r="E93" s="151"/>
      <c r="F93" s="151">
        <v>28375</v>
      </c>
      <c r="G93" s="126"/>
      <c r="H93" s="126">
        <v>28375</v>
      </c>
      <c r="I93" s="126"/>
      <c r="J93" s="126"/>
      <c r="K93" s="126"/>
      <c r="L93" s="126"/>
      <c r="M93" s="126"/>
      <c r="N93" s="126"/>
      <c r="O93" s="126"/>
      <c r="P93" s="126"/>
      <c r="Q93" s="243"/>
      <c r="R93" s="243"/>
      <c r="S93" s="144"/>
    </row>
    <row r="94" spans="1:19" x14ac:dyDescent="0.2">
      <c r="A94" s="150"/>
      <c r="B94" s="243"/>
      <c r="C94" s="142"/>
      <c r="D94" s="245"/>
      <c r="E94" s="151"/>
      <c r="F94" s="82"/>
      <c r="G94" s="126"/>
      <c r="H94" s="126"/>
      <c r="I94" s="126"/>
      <c r="J94" s="126"/>
      <c r="K94" s="126"/>
      <c r="L94" s="126"/>
      <c r="M94" s="126"/>
      <c r="N94" s="126"/>
      <c r="O94" s="126"/>
      <c r="P94" s="126"/>
      <c r="Q94" s="243"/>
      <c r="R94" s="243"/>
      <c r="S94" s="144"/>
    </row>
    <row r="95" spans="1:19" x14ac:dyDescent="0.2">
      <c r="A95" s="147" t="s">
        <v>43</v>
      </c>
      <c r="B95" s="290"/>
      <c r="C95" s="337">
        <f>SUM(C87:C94)</f>
        <v>0</v>
      </c>
      <c r="D95" s="12"/>
      <c r="E95" s="315">
        <f t="shared" ref="E95:J95" si="13">SUM(E87:E94)</f>
        <v>0</v>
      </c>
      <c r="F95" s="315">
        <f t="shared" si="13"/>
        <v>150097</v>
      </c>
      <c r="G95" s="74">
        <f t="shared" si="13"/>
        <v>0</v>
      </c>
      <c r="H95" s="74">
        <f t="shared" si="13"/>
        <v>141002.81</v>
      </c>
      <c r="I95" s="74">
        <f t="shared" si="13"/>
        <v>0</v>
      </c>
      <c r="J95" s="74">
        <f t="shared" si="13"/>
        <v>85502</v>
      </c>
      <c r="K95" s="74"/>
      <c r="L95" s="74"/>
      <c r="M95" s="74"/>
      <c r="N95" s="74"/>
      <c r="O95" s="74"/>
      <c r="P95" s="74"/>
      <c r="R95" s="11"/>
      <c r="S95" s="144"/>
    </row>
    <row r="96" spans="1:19" x14ac:dyDescent="0.2">
      <c r="A96" s="319"/>
      <c r="B96" s="333"/>
      <c r="C96" s="334"/>
      <c r="D96" s="335"/>
      <c r="E96" s="306"/>
      <c r="F96" s="306"/>
      <c r="G96" s="336"/>
      <c r="H96" s="336"/>
      <c r="I96" s="336"/>
      <c r="J96" s="336"/>
      <c r="K96" s="336"/>
      <c r="L96" s="336"/>
      <c r="M96" s="336"/>
      <c r="N96" s="336"/>
      <c r="O96" s="336"/>
      <c r="P96" s="336"/>
      <c r="Q96" s="313"/>
      <c r="R96" s="312"/>
      <c r="S96" s="307"/>
    </row>
    <row r="97" spans="1:19" x14ac:dyDescent="0.2">
      <c r="A97" s="340" t="s">
        <v>985</v>
      </c>
      <c r="B97" s="290"/>
      <c r="C97" s="142"/>
      <c r="D97" s="12"/>
      <c r="E97" s="82"/>
      <c r="F97" s="82"/>
      <c r="G97" s="126"/>
      <c r="H97" s="126"/>
      <c r="I97" s="126"/>
      <c r="J97" s="126"/>
      <c r="K97" s="126"/>
      <c r="L97" s="126"/>
      <c r="M97" s="126"/>
      <c r="N97" s="126"/>
      <c r="O97" s="126"/>
      <c r="P97" s="126"/>
      <c r="R97" s="11"/>
      <c r="S97" s="144"/>
    </row>
    <row r="98" spans="1:19" ht="25.5" x14ac:dyDescent="0.2">
      <c r="A98" s="150"/>
      <c r="B98" s="290" t="s">
        <v>889</v>
      </c>
      <c r="C98" s="142">
        <f>11500+9325</f>
        <v>20825</v>
      </c>
      <c r="D98" s="413" t="s">
        <v>1111</v>
      </c>
      <c r="E98" s="82">
        <f>(11500+9325)-14962.5</f>
        <v>5862.5</v>
      </c>
      <c r="F98" s="82">
        <v>14962.5</v>
      </c>
      <c r="G98" s="126"/>
      <c r="H98" s="126"/>
      <c r="I98" s="126"/>
      <c r="J98" s="126"/>
      <c r="K98" s="126"/>
      <c r="L98" s="126"/>
      <c r="M98" s="126"/>
      <c r="N98" s="126"/>
      <c r="O98" s="126"/>
      <c r="P98" s="126"/>
      <c r="Q98" t="s">
        <v>1120</v>
      </c>
      <c r="R98" s="11" t="s">
        <v>1005</v>
      </c>
      <c r="S98" s="144" t="s">
        <v>1101</v>
      </c>
    </row>
    <row r="99" spans="1:19" x14ac:dyDescent="0.2">
      <c r="A99" s="150"/>
      <c r="B99" s="243" t="s">
        <v>1078</v>
      </c>
      <c r="C99" s="142">
        <v>44525</v>
      </c>
      <c r="D99" s="12" t="s">
        <v>1090</v>
      </c>
      <c r="E99" s="82"/>
      <c r="F99" s="82"/>
      <c r="G99" s="126"/>
      <c r="H99" s="126">
        <v>22262.5</v>
      </c>
      <c r="I99" s="126"/>
      <c r="J99" s="126"/>
      <c r="K99" s="126"/>
      <c r="L99" s="126"/>
      <c r="M99" s="126"/>
      <c r="N99" s="126"/>
      <c r="O99" s="126"/>
      <c r="P99" s="126"/>
      <c r="R99" s="11" t="s">
        <v>1079</v>
      </c>
      <c r="S99" s="144" t="s">
        <v>1083</v>
      </c>
    </row>
    <row r="100" spans="1:19" x14ac:dyDescent="0.2">
      <c r="A100" s="150"/>
      <c r="B100" s="243"/>
      <c r="C100" s="142"/>
      <c r="D100" s="12">
        <v>45247</v>
      </c>
      <c r="E100" s="82"/>
      <c r="F100" s="82"/>
      <c r="G100" s="126">
        <f>C99-H99-H100</f>
        <v>21080</v>
      </c>
      <c r="H100" s="126">
        <v>1182.5</v>
      </c>
      <c r="I100" s="126"/>
      <c r="J100" s="126"/>
      <c r="K100" s="126"/>
      <c r="L100" s="126"/>
      <c r="M100" s="126"/>
      <c r="N100" s="126"/>
      <c r="O100" s="126"/>
      <c r="P100" s="126"/>
      <c r="Q100" t="s">
        <v>1130</v>
      </c>
      <c r="R100" s="11" t="s">
        <v>1079</v>
      </c>
      <c r="S100" s="144"/>
    </row>
    <row r="101" spans="1:19" x14ac:dyDescent="0.2">
      <c r="A101" s="150"/>
      <c r="B101" s="243"/>
      <c r="C101" s="142"/>
      <c r="D101" s="12"/>
      <c r="E101" s="82"/>
      <c r="F101" s="82"/>
      <c r="G101" s="126">
        <v>-21080</v>
      </c>
      <c r="H101" s="126"/>
      <c r="I101" s="126"/>
      <c r="J101" s="126"/>
      <c r="K101" s="126"/>
      <c r="L101" s="126"/>
      <c r="M101" s="126"/>
      <c r="N101" s="126"/>
      <c r="O101" s="126"/>
      <c r="P101" s="126"/>
      <c r="R101" s="11"/>
      <c r="S101" s="144" t="s">
        <v>66</v>
      </c>
    </row>
    <row r="102" spans="1:19" x14ac:dyDescent="0.2">
      <c r="A102" s="150"/>
      <c r="B102" s="243" t="s">
        <v>890</v>
      </c>
      <c r="C102" s="142">
        <v>15000</v>
      </c>
      <c r="D102" s="413" t="s">
        <v>1125</v>
      </c>
      <c r="E102" s="82"/>
      <c r="F102" s="82">
        <v>14720</v>
      </c>
      <c r="G102" s="126"/>
      <c r="H102" s="126"/>
      <c r="I102" s="126"/>
      <c r="J102" s="126"/>
      <c r="K102" s="126"/>
      <c r="L102" s="126"/>
      <c r="M102" s="126"/>
      <c r="N102" s="126"/>
      <c r="O102" s="126"/>
      <c r="P102" s="126"/>
      <c r="Q102" t="s">
        <v>1128</v>
      </c>
      <c r="R102" s="11" t="s">
        <v>1005</v>
      </c>
      <c r="S102" s="144"/>
    </row>
    <row r="103" spans="1:19" x14ac:dyDescent="0.2">
      <c r="A103" s="150"/>
      <c r="B103" s="243"/>
      <c r="C103" s="142"/>
      <c r="D103" s="413"/>
      <c r="E103" s="82">
        <f>15000-14720</f>
        <v>280</v>
      </c>
      <c r="F103" s="82"/>
      <c r="G103" s="126"/>
      <c r="H103" s="126"/>
      <c r="I103" s="126"/>
      <c r="J103" s="126"/>
      <c r="K103" s="126"/>
      <c r="L103" s="126"/>
      <c r="M103" s="126"/>
      <c r="N103" s="126"/>
      <c r="O103" s="126"/>
      <c r="P103" s="126"/>
      <c r="R103" s="11"/>
      <c r="S103" s="144"/>
    </row>
    <row r="104" spans="1:19" x14ac:dyDescent="0.2">
      <c r="A104" s="150"/>
      <c r="B104" s="243"/>
      <c r="C104" s="142"/>
      <c r="D104" s="12"/>
      <c r="E104" s="82">
        <v>-280</v>
      </c>
      <c r="F104" s="82"/>
      <c r="G104" s="126"/>
      <c r="H104" s="126"/>
      <c r="I104" s="126"/>
      <c r="J104" s="126"/>
      <c r="K104" s="126"/>
      <c r="L104" s="126"/>
      <c r="M104" s="126"/>
      <c r="N104" s="126"/>
      <c r="O104" s="126"/>
      <c r="P104" s="126"/>
      <c r="R104" s="11"/>
      <c r="S104" s="144" t="s">
        <v>1129</v>
      </c>
    </row>
    <row r="105" spans="1:19" ht="13.5" thickBot="1" x14ac:dyDescent="0.25">
      <c r="A105" s="338" t="s">
        <v>43</v>
      </c>
      <c r="B105" s="29"/>
      <c r="C105" s="299">
        <f>SUM(C98:C104)</f>
        <v>80350</v>
      </c>
      <c r="D105" s="29"/>
      <c r="E105" s="56">
        <f t="shared" ref="E105:P105" si="14">SUM(E97:E104)</f>
        <v>5862.5</v>
      </c>
      <c r="F105" s="56">
        <f t="shared" si="14"/>
        <v>29682.5</v>
      </c>
      <c r="G105" s="56">
        <f t="shared" si="14"/>
        <v>0</v>
      </c>
      <c r="H105" s="56">
        <f t="shared" si="14"/>
        <v>23445</v>
      </c>
      <c r="I105" s="56">
        <f t="shared" si="14"/>
        <v>0</v>
      </c>
      <c r="J105" s="56">
        <f t="shared" si="14"/>
        <v>0</v>
      </c>
      <c r="K105" s="56">
        <f t="shared" si="14"/>
        <v>0</v>
      </c>
      <c r="L105" s="56">
        <f t="shared" si="14"/>
        <v>0</v>
      </c>
      <c r="M105" s="56">
        <f t="shared" si="14"/>
        <v>0</v>
      </c>
      <c r="N105" s="56">
        <f t="shared" si="14"/>
        <v>0</v>
      </c>
      <c r="O105" s="56">
        <f t="shared" si="14"/>
        <v>0</v>
      </c>
      <c r="P105" s="56">
        <f t="shared" si="14"/>
        <v>0</v>
      </c>
      <c r="Q105" s="29"/>
      <c r="R105" s="29"/>
      <c r="S105" s="30"/>
    </row>
    <row r="106" spans="1:19" ht="13.5" thickBot="1" x14ac:dyDescent="0.25"/>
    <row r="107" spans="1:19" ht="21" thickBot="1" x14ac:dyDescent="0.25">
      <c r="A107" s="550" t="s">
        <v>989</v>
      </c>
      <c r="B107" s="551"/>
      <c r="C107" s="551"/>
      <c r="D107" s="551"/>
      <c r="E107" s="551"/>
      <c r="F107" s="551"/>
      <c r="G107" s="551"/>
      <c r="H107" s="551"/>
      <c r="I107" s="551"/>
      <c r="J107" s="551"/>
      <c r="K107" s="551"/>
      <c r="L107" s="551"/>
      <c r="M107" s="551"/>
      <c r="N107" s="551"/>
      <c r="O107" s="551"/>
      <c r="P107" s="551"/>
      <c r="Q107" s="551"/>
      <c r="R107" s="551"/>
      <c r="S107" s="552"/>
    </row>
    <row r="108" spans="1:19" x14ac:dyDescent="0.2">
      <c r="A108" s="39"/>
      <c r="B108" s="13" t="s">
        <v>52</v>
      </c>
      <c r="C108" s="13" t="s">
        <v>53</v>
      </c>
      <c r="D108" s="13" t="s">
        <v>14</v>
      </c>
      <c r="E108" s="13" t="s">
        <v>56</v>
      </c>
      <c r="F108" s="13" t="s">
        <v>55</v>
      </c>
      <c r="G108" s="13" t="s">
        <v>101</v>
      </c>
      <c r="H108" s="13"/>
      <c r="I108" s="13"/>
      <c r="J108" s="13"/>
      <c r="K108" s="13"/>
      <c r="L108" s="13"/>
      <c r="M108" s="13"/>
      <c r="N108" s="13"/>
      <c r="O108" s="13"/>
      <c r="P108" s="13"/>
      <c r="R108" s="13"/>
      <c r="S108" s="298" t="s">
        <v>923</v>
      </c>
    </row>
    <row r="109" spans="1:19" x14ac:dyDescent="0.2">
      <c r="A109" s="39" t="s">
        <v>864</v>
      </c>
      <c r="B109" s="18">
        <v>141667</v>
      </c>
      <c r="C109" s="18">
        <v>141667</v>
      </c>
      <c r="D109" s="18">
        <v>141667</v>
      </c>
      <c r="E109" s="18">
        <v>25000</v>
      </c>
      <c r="F109" s="18">
        <v>25000</v>
      </c>
      <c r="G109" s="18">
        <v>25000</v>
      </c>
      <c r="H109" s="18"/>
      <c r="I109" s="18"/>
      <c r="J109" s="18"/>
      <c r="K109" s="18"/>
      <c r="L109" s="18"/>
      <c r="M109" s="18"/>
      <c r="N109" s="18"/>
      <c r="O109" s="18"/>
      <c r="P109" s="18"/>
      <c r="R109" s="292">
        <f>SUM(B109:P109)</f>
        <v>500001</v>
      </c>
      <c r="S109" s="37"/>
    </row>
    <row r="110" spans="1:19" x14ac:dyDescent="0.2">
      <c r="A110" s="39" t="s">
        <v>36</v>
      </c>
      <c r="B110" s="18">
        <f>IF(B141&gt;B109,B109,B141)</f>
        <v>0</v>
      </c>
      <c r="C110" s="18">
        <f>IF(C141&gt;C109,C109,C141)</f>
        <v>0</v>
      </c>
      <c r="D110" s="18">
        <f>IF(D141&gt;D109,D109,D141)</f>
        <v>0</v>
      </c>
      <c r="E110" s="18">
        <f>IF(E141&gt;E109,E109,E141)</f>
        <v>0</v>
      </c>
      <c r="F110" s="18">
        <f>IF(F141&gt;F109,F109,F141)</f>
        <v>0</v>
      </c>
      <c r="G110" s="18">
        <f>IF(Q141&gt;G109,G109,Q141)</f>
        <v>0</v>
      </c>
      <c r="H110" s="18"/>
      <c r="I110" s="18"/>
      <c r="J110" s="18"/>
      <c r="K110" s="18"/>
      <c r="L110" s="18"/>
      <c r="M110" s="18"/>
      <c r="N110" s="18"/>
      <c r="O110" s="18"/>
      <c r="P110" s="18"/>
      <c r="R110" s="13"/>
      <c r="S110" s="37"/>
    </row>
    <row r="111" spans="1:19" x14ac:dyDescent="0.2">
      <c r="A111" s="39" t="s">
        <v>862</v>
      </c>
      <c r="B111" s="18">
        <f>B109+B110</f>
        <v>141667</v>
      </c>
      <c r="C111" s="18">
        <f>SUM(C109:C110)</f>
        <v>141667</v>
      </c>
      <c r="D111" s="18">
        <f>SUM(D109:D110)</f>
        <v>141667</v>
      </c>
      <c r="E111" s="18">
        <f>SUM(E109:E110)</f>
        <v>25000</v>
      </c>
      <c r="F111" s="18">
        <f>SUM(F109:F110)</f>
        <v>25000</v>
      </c>
      <c r="G111" s="18">
        <f>SUM(G109:G110)</f>
        <v>25000</v>
      </c>
      <c r="H111" s="18"/>
      <c r="I111" s="18"/>
      <c r="J111" s="18"/>
      <c r="K111" s="18"/>
      <c r="L111" s="18"/>
      <c r="M111" s="18"/>
      <c r="N111" s="18"/>
      <c r="O111" s="18"/>
      <c r="P111" s="18"/>
      <c r="R111" s="13"/>
      <c r="S111" s="37" t="s">
        <v>107</v>
      </c>
    </row>
    <row r="112" spans="1:19" x14ac:dyDescent="0.2">
      <c r="A112" s="39" t="s">
        <v>47</v>
      </c>
      <c r="B112" s="18">
        <f>B141</f>
        <v>0</v>
      </c>
      <c r="C112" s="18">
        <f>IF(C142&gt;C136,C136,C142)</f>
        <v>0</v>
      </c>
      <c r="D112" s="18">
        <f>IF(D142&gt;D136,D136,D142)</f>
        <v>0</v>
      </c>
      <c r="E112" s="18">
        <f>IF(E142&gt;E136,E136,E142)</f>
        <v>0</v>
      </c>
      <c r="F112" s="18">
        <f>IF(F142&gt;F136,F136,F142)</f>
        <v>0</v>
      </c>
      <c r="G112" s="18">
        <f>IF(Q142&gt;Q136,Q136,Q142)</f>
        <v>0</v>
      </c>
      <c r="H112" s="18"/>
      <c r="I112" s="18"/>
      <c r="J112" s="18"/>
      <c r="K112" s="18"/>
      <c r="L112" s="18"/>
      <c r="M112" s="18"/>
      <c r="N112" s="18"/>
      <c r="O112" s="18"/>
      <c r="P112" s="18"/>
      <c r="R112" s="13"/>
      <c r="S112" s="37"/>
    </row>
    <row r="113" spans="1:19" x14ac:dyDescent="0.2">
      <c r="A113" s="39" t="s">
        <v>479</v>
      </c>
      <c r="B113" s="18">
        <f t="shared" ref="B113:G113" si="15">B112+B109</f>
        <v>141667</v>
      </c>
      <c r="C113" s="18">
        <f t="shared" si="15"/>
        <v>141667</v>
      </c>
      <c r="D113" s="18">
        <f t="shared" si="15"/>
        <v>141667</v>
      </c>
      <c r="E113" s="18">
        <f t="shared" si="15"/>
        <v>25000</v>
      </c>
      <c r="F113" s="18">
        <f t="shared" si="15"/>
        <v>25000</v>
      </c>
      <c r="G113" s="18">
        <f t="shared" si="15"/>
        <v>25000</v>
      </c>
      <c r="H113" s="18"/>
      <c r="I113" s="18"/>
      <c r="J113" s="18"/>
      <c r="K113" s="18"/>
      <c r="L113" s="18"/>
      <c r="M113" s="18"/>
      <c r="N113" s="18"/>
      <c r="O113" s="18"/>
      <c r="P113" s="18"/>
      <c r="R113" s="13"/>
      <c r="S113" s="37" t="s">
        <v>108</v>
      </c>
    </row>
    <row r="114" spans="1:19" x14ac:dyDescent="0.2">
      <c r="A114" s="39" t="s">
        <v>39</v>
      </c>
      <c r="B114" s="18">
        <f>B111-(F132)</f>
        <v>117009.65424999999</v>
      </c>
      <c r="C114" s="18">
        <f>C111-E132</f>
        <v>141092.41574999999</v>
      </c>
      <c r="D114" s="18">
        <f>D111-F132</f>
        <v>117009.65424999999</v>
      </c>
      <c r="E114" s="18">
        <f>E111-Q132</f>
        <v>25000</v>
      </c>
      <c r="F114" s="18">
        <f>F111-R132</f>
        <v>25000</v>
      </c>
      <c r="G114" s="18">
        <f>G111-S132</f>
        <v>25000</v>
      </c>
      <c r="H114" s="18"/>
      <c r="I114" s="18"/>
      <c r="J114" s="18"/>
      <c r="K114" s="18"/>
      <c r="L114" s="18"/>
      <c r="M114" s="18"/>
      <c r="N114" s="18"/>
      <c r="O114" s="18"/>
      <c r="P114" s="18"/>
      <c r="R114" s="13"/>
      <c r="S114" s="37" t="s">
        <v>109</v>
      </c>
    </row>
    <row r="115" spans="1:19" ht="25.5" x14ac:dyDescent="0.2">
      <c r="A115" s="39" t="s">
        <v>799</v>
      </c>
      <c r="B115" s="38">
        <f>B113-(E132+F132)</f>
        <v>116435.07</v>
      </c>
      <c r="C115" s="38">
        <f>C113-(G132+H132)</f>
        <v>96338.01999999999</v>
      </c>
      <c r="D115" s="38">
        <f>D113-(I132+J132)</f>
        <v>110484.18</v>
      </c>
      <c r="E115" s="38">
        <f>E113-(K132+L132)</f>
        <v>22351.255000000001</v>
      </c>
      <c r="F115" s="38">
        <f>F113-(M132+N132)</f>
        <v>22351.255000000001</v>
      </c>
      <c r="G115" s="38">
        <f>G113-(O132+P132)</f>
        <v>22351.255000000001</v>
      </c>
      <c r="H115" s="44"/>
      <c r="I115" s="44"/>
      <c r="J115" s="44"/>
      <c r="K115" s="44"/>
      <c r="L115" s="44"/>
      <c r="M115" s="44"/>
      <c r="N115" s="44"/>
      <c r="O115" s="44"/>
      <c r="P115" s="44"/>
      <c r="R115" s="292"/>
      <c r="S115" s="291" t="s">
        <v>110</v>
      </c>
    </row>
    <row r="116" spans="1:19" ht="21" thickBot="1" x14ac:dyDescent="0.35">
      <c r="A116" s="39"/>
      <c r="B116" s="13"/>
      <c r="C116" s="13"/>
      <c r="D116" s="13"/>
      <c r="E116" s="14"/>
      <c r="F116" s="14"/>
      <c r="G116" s="14"/>
      <c r="H116" s="14"/>
      <c r="I116" s="14"/>
      <c r="J116" s="14"/>
      <c r="K116" s="14"/>
      <c r="L116" s="14"/>
      <c r="M116" s="14"/>
      <c r="N116" s="14"/>
      <c r="O116" s="14"/>
      <c r="P116" s="14"/>
      <c r="Q116" s="13"/>
      <c r="R116" s="13"/>
      <c r="S116" s="37"/>
    </row>
    <row r="117" spans="1:19" ht="51" x14ac:dyDescent="0.2">
      <c r="A117" s="19" t="s">
        <v>41</v>
      </c>
      <c r="B117" s="20" t="s">
        <v>34</v>
      </c>
      <c r="C117" s="20" t="s">
        <v>64</v>
      </c>
      <c r="D117" s="20" t="s">
        <v>63</v>
      </c>
      <c r="E117" s="20" t="s">
        <v>891</v>
      </c>
      <c r="F117" s="20" t="s">
        <v>892</v>
      </c>
      <c r="G117" s="20" t="s">
        <v>893</v>
      </c>
      <c r="H117" s="20" t="s">
        <v>894</v>
      </c>
      <c r="I117" s="20" t="s">
        <v>895</v>
      </c>
      <c r="J117" s="20" t="s">
        <v>896</v>
      </c>
      <c r="K117" s="20" t="s">
        <v>897</v>
      </c>
      <c r="L117" s="20" t="s">
        <v>898</v>
      </c>
      <c r="M117" s="20" t="s">
        <v>899</v>
      </c>
      <c r="N117" s="20" t="s">
        <v>900</v>
      </c>
      <c r="O117" s="20" t="s">
        <v>901</v>
      </c>
      <c r="P117" s="20" t="s">
        <v>902</v>
      </c>
      <c r="Q117" s="20" t="s">
        <v>40</v>
      </c>
      <c r="R117" s="20" t="s">
        <v>38</v>
      </c>
      <c r="S117" s="21" t="s">
        <v>5</v>
      </c>
    </row>
    <row r="118" spans="1:19" x14ac:dyDescent="0.2">
      <c r="A118" s="25" t="s">
        <v>42</v>
      </c>
      <c r="B118" s="138"/>
      <c r="C118" s="142"/>
      <c r="D118" s="136"/>
      <c r="E118" s="58"/>
      <c r="F118" s="83"/>
      <c r="G118" s="82"/>
      <c r="H118" s="82"/>
      <c r="I118" s="82"/>
      <c r="J118" s="82"/>
      <c r="K118" s="82"/>
      <c r="L118" s="82"/>
      <c r="M118" s="82"/>
      <c r="N118" s="82"/>
      <c r="O118" s="82"/>
      <c r="P118" s="82"/>
      <c r="Q118" s="138"/>
      <c r="R118" s="135"/>
      <c r="S118" s="43"/>
    </row>
    <row r="119" spans="1:19" x14ac:dyDescent="0.2">
      <c r="A119" s="150"/>
      <c r="B119" s="135" t="s">
        <v>618</v>
      </c>
      <c r="C119" s="142"/>
      <c r="D119" s="136"/>
      <c r="E119" s="151"/>
      <c r="F119" s="82"/>
      <c r="G119" s="82"/>
      <c r="H119" s="82"/>
      <c r="I119" s="82"/>
      <c r="J119" s="82"/>
      <c r="K119" s="82"/>
      <c r="L119" s="82"/>
      <c r="M119" s="82"/>
      <c r="N119" s="82"/>
      <c r="O119" s="82"/>
      <c r="P119" s="82"/>
      <c r="Q119" s="135"/>
      <c r="R119" s="135"/>
      <c r="S119" s="144"/>
    </row>
    <row r="120" spans="1:19" x14ac:dyDescent="0.2">
      <c r="A120" s="385" t="s">
        <v>909</v>
      </c>
      <c r="B120" s="243" t="s">
        <v>888</v>
      </c>
      <c r="C120" s="142">
        <v>4050</v>
      </c>
      <c r="D120" s="245" t="s">
        <v>919</v>
      </c>
      <c r="E120" s="151"/>
      <c r="F120" s="82"/>
      <c r="G120" s="126"/>
      <c r="H120" s="126">
        <v>4050</v>
      </c>
      <c r="I120" s="126"/>
      <c r="J120" s="126"/>
      <c r="K120" s="126"/>
      <c r="L120" s="126"/>
      <c r="M120" s="126"/>
      <c r="N120" s="126"/>
      <c r="O120" s="126"/>
      <c r="P120" s="126"/>
      <c r="Q120" s="243" t="s">
        <v>951</v>
      </c>
      <c r="R120" s="243" t="s">
        <v>909</v>
      </c>
      <c r="S120" s="144" t="s">
        <v>92</v>
      </c>
    </row>
    <row r="121" spans="1:19" x14ac:dyDescent="0.2">
      <c r="A121" s="150" t="s">
        <v>922</v>
      </c>
      <c r="B121" s="243" t="s">
        <v>888</v>
      </c>
      <c r="C121" s="142">
        <v>7350</v>
      </c>
      <c r="D121" s="245" t="s">
        <v>930</v>
      </c>
      <c r="E121" s="151"/>
      <c r="F121" s="82"/>
      <c r="G121" s="126"/>
      <c r="H121" s="126">
        <v>6420</v>
      </c>
      <c r="I121" s="126"/>
      <c r="J121" s="126"/>
      <c r="K121" s="126"/>
      <c r="L121" s="126"/>
      <c r="M121" s="126"/>
      <c r="N121" s="126"/>
      <c r="O121" s="126"/>
      <c r="P121" s="126"/>
      <c r="Q121" s="243" t="s">
        <v>1028</v>
      </c>
      <c r="R121" s="243" t="s">
        <v>1029</v>
      </c>
      <c r="S121" s="144" t="s">
        <v>92</v>
      </c>
    </row>
    <row r="122" spans="1:19" x14ac:dyDescent="0.2">
      <c r="A122" s="150" t="s">
        <v>920</v>
      </c>
      <c r="B122" s="243" t="s">
        <v>888</v>
      </c>
      <c r="C122" s="142">
        <v>2400</v>
      </c>
      <c r="D122" s="245" t="s">
        <v>945</v>
      </c>
      <c r="E122" s="151"/>
      <c r="F122" s="82"/>
      <c r="G122" s="126"/>
      <c r="H122" s="126">
        <v>2400</v>
      </c>
      <c r="I122" s="126"/>
      <c r="J122" s="126"/>
      <c r="K122" s="126"/>
      <c r="L122" s="126"/>
      <c r="M122" s="126"/>
      <c r="N122" s="126"/>
      <c r="O122" s="126"/>
      <c r="P122" s="126"/>
      <c r="Q122" s="243" t="s">
        <v>1030</v>
      </c>
      <c r="R122" s="243" t="s">
        <v>920</v>
      </c>
      <c r="S122" s="144" t="s">
        <v>92</v>
      </c>
    </row>
    <row r="123" spans="1:19" ht="38.25" x14ac:dyDescent="0.2">
      <c r="A123" s="150" t="s">
        <v>953</v>
      </c>
      <c r="B123" s="243" t="s">
        <v>888</v>
      </c>
      <c r="C123" s="142">
        <v>10350</v>
      </c>
      <c r="D123" s="384" t="s">
        <v>1018</v>
      </c>
      <c r="E123" s="151"/>
      <c r="F123" s="82">
        <v>4860</v>
      </c>
      <c r="G123" s="126"/>
      <c r="H123" s="126">
        <v>4860</v>
      </c>
      <c r="I123" s="126"/>
      <c r="J123" s="126"/>
      <c r="K123" s="126"/>
      <c r="L123" s="126"/>
      <c r="M123" s="126"/>
      <c r="N123" s="126"/>
      <c r="O123" s="126"/>
      <c r="P123" s="126"/>
      <c r="Q123" s="243" t="s">
        <v>1032</v>
      </c>
      <c r="R123" s="243" t="s">
        <v>953</v>
      </c>
      <c r="S123" s="144" t="s">
        <v>1019</v>
      </c>
    </row>
    <row r="124" spans="1:19" ht="13.5" thickBot="1" x14ac:dyDescent="0.25">
      <c r="A124" s="150" t="s">
        <v>921</v>
      </c>
      <c r="B124" s="243" t="s">
        <v>888</v>
      </c>
      <c r="C124" s="142">
        <v>22875</v>
      </c>
      <c r="D124" s="384" t="s">
        <v>1016</v>
      </c>
      <c r="E124" s="151"/>
      <c r="F124" s="82">
        <v>6459.24</v>
      </c>
      <c r="G124" s="126"/>
      <c r="H124" s="126">
        <v>6461.51</v>
      </c>
      <c r="I124" s="126"/>
      <c r="J124" s="126">
        <v>6459.24</v>
      </c>
      <c r="K124" s="126"/>
      <c r="L124" s="126">
        <v>1140</v>
      </c>
      <c r="M124" s="126"/>
      <c r="N124" s="126">
        <v>1140</v>
      </c>
      <c r="O124" s="126"/>
      <c r="P124" s="126">
        <v>1140</v>
      </c>
      <c r="Q124" s="243" t="s">
        <v>1031</v>
      </c>
      <c r="R124" s="243" t="s">
        <v>921</v>
      </c>
      <c r="S124" s="144" t="s">
        <v>1017</v>
      </c>
    </row>
    <row r="125" spans="1:19" ht="13.5" thickBot="1" x14ac:dyDescent="0.25">
      <c r="A125" s="387" t="s">
        <v>922</v>
      </c>
      <c r="B125" s="388" t="s">
        <v>889</v>
      </c>
      <c r="C125" s="389">
        <v>7175</v>
      </c>
      <c r="D125" s="390" t="s">
        <v>931</v>
      </c>
      <c r="E125" s="391"/>
      <c r="F125" s="391">
        <v>2032.68</v>
      </c>
      <c r="G125" s="391"/>
      <c r="H125" s="391">
        <v>2033.38</v>
      </c>
      <c r="I125" s="391"/>
      <c r="J125" s="391">
        <v>2032.68</v>
      </c>
      <c r="K125" s="391"/>
      <c r="L125" s="391">
        <v>358.75</v>
      </c>
      <c r="M125" s="391"/>
      <c r="N125" s="391">
        <v>358.75</v>
      </c>
      <c r="O125" s="391"/>
      <c r="P125" s="391">
        <v>358.75</v>
      </c>
      <c r="Q125" s="392" t="s">
        <v>1034</v>
      </c>
      <c r="R125" s="393" t="s">
        <v>921</v>
      </c>
      <c r="S125" s="394" t="s">
        <v>92</v>
      </c>
    </row>
    <row r="126" spans="1:19" x14ac:dyDescent="0.2">
      <c r="A126" s="386" t="s">
        <v>920</v>
      </c>
      <c r="B126" s="395" t="s">
        <v>889</v>
      </c>
      <c r="C126" s="396">
        <v>16100</v>
      </c>
      <c r="D126" s="397" t="s">
        <v>932</v>
      </c>
      <c r="E126" s="398">
        <f>(C126*0.2834)-F126</f>
        <v>574.58424999999988</v>
      </c>
      <c r="F126" s="398">
        <f>0.2833*14077.5</f>
        <v>3988.1557499999999</v>
      </c>
      <c r="G126" s="399">
        <f>(C126*0.2833)-H126</f>
        <v>571.56650000000036</v>
      </c>
      <c r="H126" s="399">
        <f>0.2834*14077.5</f>
        <v>3989.5634999999997</v>
      </c>
      <c r="I126" s="399">
        <f>(C126*0.2833)-J126</f>
        <v>572.97425000000021</v>
      </c>
      <c r="J126" s="399">
        <f>0.2833*14077.5</f>
        <v>3988.1557499999999</v>
      </c>
      <c r="K126" s="399">
        <f>ROUNDDOWN((0.05*16100)-L126,2)</f>
        <v>101.12</v>
      </c>
      <c r="L126" s="399">
        <f>0.05*14077.5</f>
        <v>703.875</v>
      </c>
      <c r="M126" s="399">
        <f>ROUNDDOWN((C126*0.05)-N126,2)</f>
        <v>101.12</v>
      </c>
      <c r="N126" s="399">
        <f>0.05*14077.5</f>
        <v>703.875</v>
      </c>
      <c r="O126" s="399">
        <f>ROUNDDOWN((C126*0.05)-P126,2)</f>
        <v>101.12</v>
      </c>
      <c r="P126" s="399">
        <f>0.05*14077.5</f>
        <v>703.875</v>
      </c>
      <c r="Q126" s="400" t="s">
        <v>950</v>
      </c>
      <c r="R126" s="401" t="s">
        <v>920</v>
      </c>
      <c r="S126" s="402" t="s">
        <v>93</v>
      </c>
    </row>
    <row r="127" spans="1:19" x14ac:dyDescent="0.2">
      <c r="A127" s="385" t="s">
        <v>921</v>
      </c>
      <c r="B127" s="290" t="s">
        <v>890</v>
      </c>
      <c r="C127" s="142">
        <v>6900</v>
      </c>
      <c r="D127" s="12" t="s">
        <v>933</v>
      </c>
      <c r="E127" s="82">
        <v>0</v>
      </c>
      <c r="F127" s="82">
        <v>1954.77</v>
      </c>
      <c r="G127" s="126">
        <v>0</v>
      </c>
      <c r="H127" s="126">
        <v>1955.46</v>
      </c>
      <c r="I127" s="126">
        <v>0</v>
      </c>
      <c r="J127" s="126">
        <v>1954.77</v>
      </c>
      <c r="K127" s="126">
        <v>0</v>
      </c>
      <c r="L127" s="126">
        <v>345</v>
      </c>
      <c r="M127" s="126">
        <v>0</v>
      </c>
      <c r="N127" s="126">
        <v>345</v>
      </c>
      <c r="O127" s="126">
        <v>0</v>
      </c>
      <c r="P127" s="126">
        <v>345</v>
      </c>
      <c r="Q127" t="s">
        <v>948</v>
      </c>
      <c r="R127" s="11" t="s">
        <v>921</v>
      </c>
      <c r="S127" s="144" t="s">
        <v>92</v>
      </c>
    </row>
    <row r="128" spans="1:19" x14ac:dyDescent="0.2">
      <c r="A128" s="301" t="s">
        <v>920</v>
      </c>
      <c r="B128" s="395" t="s">
        <v>890</v>
      </c>
      <c r="C128" s="403">
        <v>14450</v>
      </c>
      <c r="D128" s="397" t="s">
        <v>934</v>
      </c>
      <c r="E128" s="404"/>
      <c r="F128" s="404"/>
      <c r="G128" s="399">
        <f>(0.5*C128)-H128</f>
        <v>2110</v>
      </c>
      <c r="H128" s="399">
        <f>0.5*10230</f>
        <v>5115</v>
      </c>
      <c r="I128" s="399">
        <f>(0.5*C128)-J128</f>
        <v>2110</v>
      </c>
      <c r="J128" s="399">
        <f>0.5*10230</f>
        <v>5115</v>
      </c>
      <c r="K128" s="399"/>
      <c r="L128" s="399"/>
      <c r="M128" s="399"/>
      <c r="N128" s="399"/>
      <c r="O128" s="399"/>
      <c r="P128" s="399"/>
      <c r="Q128" s="400" t="s">
        <v>949</v>
      </c>
      <c r="R128" s="401" t="s">
        <v>920</v>
      </c>
      <c r="S128" s="405" t="s">
        <v>189</v>
      </c>
    </row>
    <row r="129" spans="1:19" x14ac:dyDescent="0.2">
      <c r="A129" s="150" t="s">
        <v>882</v>
      </c>
      <c r="B129" s="243" t="s">
        <v>890</v>
      </c>
      <c r="C129" s="142">
        <v>5800</v>
      </c>
      <c r="D129" s="12" t="s">
        <v>935</v>
      </c>
      <c r="E129" s="82"/>
      <c r="F129" s="82"/>
      <c r="G129" s="126"/>
      <c r="H129" s="126"/>
      <c r="I129" s="126"/>
      <c r="J129" s="126">
        <v>5800</v>
      </c>
      <c r="K129" s="126"/>
      <c r="L129" s="126"/>
      <c r="M129" s="126"/>
      <c r="N129" s="126"/>
      <c r="O129" s="126"/>
      <c r="P129" s="126"/>
      <c r="Q129" t="s">
        <v>947</v>
      </c>
      <c r="R129" s="11" t="s">
        <v>882</v>
      </c>
      <c r="S129" s="144" t="s">
        <v>90</v>
      </c>
    </row>
    <row r="130" spans="1:19" x14ac:dyDescent="0.2">
      <c r="A130" s="150" t="s">
        <v>882</v>
      </c>
      <c r="B130" s="243" t="s">
        <v>618</v>
      </c>
      <c r="C130" s="142">
        <v>3150</v>
      </c>
      <c r="D130" s="12" t="s">
        <v>943</v>
      </c>
      <c r="E130" s="82"/>
      <c r="F130" s="82"/>
      <c r="G130" s="126"/>
      <c r="H130" s="126"/>
      <c r="I130" s="126"/>
      <c r="J130" s="126">
        <v>3150</v>
      </c>
      <c r="K130" s="126"/>
      <c r="L130" s="126"/>
      <c r="M130" s="126"/>
      <c r="N130" s="126"/>
      <c r="O130" s="126"/>
      <c r="P130" s="126"/>
      <c r="Q130" t="s">
        <v>946</v>
      </c>
      <c r="R130" s="11" t="s">
        <v>882</v>
      </c>
      <c r="S130" s="144" t="s">
        <v>90</v>
      </c>
    </row>
    <row r="131" spans="1:19" x14ac:dyDescent="0.2">
      <c r="A131" s="150" t="s">
        <v>953</v>
      </c>
      <c r="B131" s="243" t="s">
        <v>618</v>
      </c>
      <c r="C131" s="142">
        <v>10725</v>
      </c>
      <c r="D131" s="12" t="s">
        <v>954</v>
      </c>
      <c r="E131" s="82"/>
      <c r="F131" s="82">
        <v>5362.5</v>
      </c>
      <c r="G131" s="126"/>
      <c r="H131" s="126">
        <v>5362.5</v>
      </c>
      <c r="I131" s="126"/>
      <c r="J131" s="126"/>
      <c r="K131" s="126"/>
      <c r="L131" s="126"/>
      <c r="M131" s="126"/>
      <c r="N131" s="126"/>
      <c r="O131" s="126"/>
      <c r="P131" s="126"/>
      <c r="Q131" t="s">
        <v>1041</v>
      </c>
      <c r="R131" s="11" t="s">
        <v>953</v>
      </c>
      <c r="S131" s="144" t="s">
        <v>1033</v>
      </c>
    </row>
    <row r="132" spans="1:19" ht="13.5" thickBot="1" x14ac:dyDescent="0.25">
      <c r="A132" s="28" t="s">
        <v>43</v>
      </c>
      <c r="B132" s="29"/>
      <c r="C132" s="299">
        <f>SUM(C119:C131)</f>
        <v>111325</v>
      </c>
      <c r="D132" s="29"/>
      <c r="E132" s="56">
        <f>SUM(E118:E131)</f>
        <v>574.58424999999988</v>
      </c>
      <c r="F132" s="56">
        <f>SUM(F118:F131)</f>
        <v>24657.34575</v>
      </c>
      <c r="G132" s="56">
        <f>SUM(G118:G131)</f>
        <v>2681.5665000000004</v>
      </c>
      <c r="H132" s="56">
        <f>SUM(H118:H131)</f>
        <v>42647.413500000002</v>
      </c>
      <c r="I132" s="56">
        <f t="shared" ref="I132:P132" si="16">SUM(I118:I130)</f>
        <v>2682.9742500000002</v>
      </c>
      <c r="J132" s="56">
        <f t="shared" si="16"/>
        <v>28499.84575</v>
      </c>
      <c r="K132" s="56">
        <f t="shared" si="16"/>
        <v>101.12</v>
      </c>
      <c r="L132" s="56">
        <f t="shared" si="16"/>
        <v>2547.625</v>
      </c>
      <c r="M132" s="56">
        <f t="shared" si="16"/>
        <v>101.12</v>
      </c>
      <c r="N132" s="56">
        <f t="shared" si="16"/>
        <v>2547.625</v>
      </c>
      <c r="O132" s="56">
        <f t="shared" si="16"/>
        <v>101.12</v>
      </c>
      <c r="P132" s="56">
        <f t="shared" si="16"/>
        <v>2547.625</v>
      </c>
      <c r="Q132" s="29"/>
      <c r="R132" s="29"/>
      <c r="S132" s="30"/>
    </row>
    <row r="134" spans="1:19" x14ac:dyDescent="0.2">
      <c r="K134" s="40"/>
    </row>
    <row r="135" spans="1:19" x14ac:dyDescent="0.2">
      <c r="A135" s="611" t="s">
        <v>925</v>
      </c>
      <c r="B135" s="612"/>
      <c r="C135" s="612"/>
      <c r="D135" s="612"/>
      <c r="E135" s="300">
        <f>0.8*500000</f>
        <v>400000</v>
      </c>
      <c r="O135" s="40"/>
      <c r="P135" s="40">
        <f>SUM(F132+H132+J132+L132+N132+P132)</f>
        <v>103447.48000000001</v>
      </c>
      <c r="R135" s="40"/>
    </row>
    <row r="136" spans="1:19" x14ac:dyDescent="0.2">
      <c r="A136" t="s">
        <v>924</v>
      </c>
      <c r="O136" s="40"/>
      <c r="P136" s="40">
        <f>SUM(C121:C125)</f>
        <v>50150</v>
      </c>
    </row>
    <row r="137" spans="1:19" x14ac:dyDescent="0.2">
      <c r="O137" s="40"/>
    </row>
    <row r="138" spans="1:19" x14ac:dyDescent="0.2">
      <c r="O138" s="40"/>
    </row>
    <row r="139" spans="1:19" x14ac:dyDescent="0.2">
      <c r="O139" s="40"/>
    </row>
    <row r="140" spans="1:19" x14ac:dyDescent="0.2">
      <c r="O140" s="40"/>
    </row>
    <row r="141" spans="1:19" x14ac:dyDescent="0.2">
      <c r="O141" s="40"/>
    </row>
    <row r="142" spans="1:19" x14ac:dyDescent="0.2">
      <c r="O142" s="40"/>
    </row>
    <row r="143" spans="1:19" x14ac:dyDescent="0.2">
      <c r="O143" s="40"/>
    </row>
    <row r="144" spans="1:19" x14ac:dyDescent="0.2">
      <c r="O144" s="40"/>
    </row>
    <row r="145" spans="15:15" x14ac:dyDescent="0.2">
      <c r="O145" s="40"/>
    </row>
    <row r="146" spans="15:15" x14ac:dyDescent="0.2">
      <c r="O146" s="40"/>
    </row>
  </sheetData>
  <mergeCells count="29">
    <mergeCell ref="I7:J7"/>
    <mergeCell ref="I8:J8"/>
    <mergeCell ref="I9:J9"/>
    <mergeCell ref="I10:J10"/>
    <mergeCell ref="A2:S2"/>
    <mergeCell ref="I3:J3"/>
    <mergeCell ref="I4:J4"/>
    <mergeCell ref="I5:J5"/>
    <mergeCell ref="I6:J6"/>
    <mergeCell ref="A107:S107"/>
    <mergeCell ref="A135:D135"/>
    <mergeCell ref="A76:S76"/>
    <mergeCell ref="I77:J77"/>
    <mergeCell ref="I78:J78"/>
    <mergeCell ref="I79:J79"/>
    <mergeCell ref="I80:J80"/>
    <mergeCell ref="I81:J81"/>
    <mergeCell ref="I82:J82"/>
    <mergeCell ref="I83:J83"/>
    <mergeCell ref="I84:J84"/>
    <mergeCell ref="I42:J42"/>
    <mergeCell ref="I43:J43"/>
    <mergeCell ref="I44:J44"/>
    <mergeCell ref="I45:J45"/>
    <mergeCell ref="A37:S37"/>
    <mergeCell ref="I38:J38"/>
    <mergeCell ref="I39:J39"/>
    <mergeCell ref="I40:J40"/>
    <mergeCell ref="I41:J41"/>
  </mergeCells>
  <phoneticPr fontId="28" type="noConversion"/>
  <hyperlinks>
    <hyperlink ref="D73" r:id="rId1" xr:uid="{037BDCB8-691E-4FA1-899B-1DFF4393C67E}"/>
    <hyperlink ref="Q59" r:id="rId2" xr:uid="{E04234D3-D50A-4330-9484-33BF0664C6DF}"/>
    <hyperlink ref="Q63" r:id="rId3" xr:uid="{8161D7FF-2693-4235-B27C-9D1EC4B39F2C}"/>
    <hyperlink ref="Q66" r:id="rId4" xr:uid="{16C1D76C-0166-437D-8A8E-FA5753766800}"/>
    <hyperlink ref="F72" r:id="rId5" display="https://apps.puc.state.or.us/orders/2025ords/25-007.pdf" xr:uid="{97D348F3-BF01-4776-B545-5B21D2B17B19}"/>
    <hyperlink ref="Q21" r:id="rId6" xr:uid="{99AB1F20-8C1B-4DDE-B932-70FE83462FF8}"/>
    <hyperlink ref="Q22" r:id="rId7" xr:uid="{AD386999-E645-4684-B081-6178F7BEC7EB}"/>
    <hyperlink ref="D24" r:id="rId8" xr:uid="{A912D2C3-D0B2-4CF9-914F-8FCC450EBC5F}"/>
  </hyperlinks>
  <pageMargins left="0.7" right="0.7" top="0.75" bottom="0.75" header="0.3" footer="0.3"/>
  <pageSetup scale="46" fitToHeight="0" orientation="landscape" r:id="rId9"/>
  <rowBreaks count="1" manualBreakCount="1">
    <brk id="74" max="16383" man="1"/>
  </rowBreaks>
  <colBreaks count="1" manualBreakCount="1">
    <brk id="1" max="1048575" man="1"/>
  </colBreaks>
  <drawing r:id="rId10"/>
  <legacyDrawing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0E36-D773-4E83-A2C2-D8CA12C09025}">
  <dimension ref="A1:F46"/>
  <sheetViews>
    <sheetView workbookViewId="0">
      <selection activeCell="A2" sqref="A2"/>
    </sheetView>
  </sheetViews>
  <sheetFormatPr defaultRowHeight="12.75" x14ac:dyDescent="0.2"/>
  <cols>
    <col min="1" max="1" width="10.140625" bestFit="1" customWidth="1"/>
    <col min="4" max="4" width="14.42578125" bestFit="1" customWidth="1"/>
    <col min="5" max="5" width="21.42578125" bestFit="1" customWidth="1"/>
    <col min="6" max="6" width="35.7109375" bestFit="1" customWidth="1"/>
  </cols>
  <sheetData>
    <row r="1" spans="1:6" x14ac:dyDescent="0.2">
      <c r="A1" s="407" t="s">
        <v>1240</v>
      </c>
    </row>
    <row r="9" spans="1:6" x14ac:dyDescent="0.2">
      <c r="A9" s="407" t="s">
        <v>1160</v>
      </c>
    </row>
    <row r="10" spans="1:6" x14ac:dyDescent="0.2">
      <c r="A10" s="268" t="s">
        <v>1044</v>
      </c>
      <c r="B10" s="268" t="s">
        <v>1045</v>
      </c>
      <c r="C10" s="268" t="s">
        <v>1046</v>
      </c>
      <c r="D10" s="268" t="s">
        <v>1060</v>
      </c>
      <c r="E10" s="268" t="s">
        <v>1048</v>
      </c>
      <c r="F10" s="268" t="s">
        <v>5</v>
      </c>
    </row>
    <row r="11" spans="1:6" x14ac:dyDescent="0.2">
      <c r="A11" s="406">
        <v>45299</v>
      </c>
      <c r="B11" s="268" t="s">
        <v>1153</v>
      </c>
      <c r="C11" s="268" t="s">
        <v>1053</v>
      </c>
      <c r="D11" s="268"/>
      <c r="E11" s="268"/>
      <c r="F11" s="268" t="s">
        <v>532</v>
      </c>
    </row>
    <row r="12" spans="1:6" x14ac:dyDescent="0.2">
      <c r="A12" s="406">
        <v>45294</v>
      </c>
      <c r="B12" s="268" t="s">
        <v>1152</v>
      </c>
      <c r="C12" s="268" t="s">
        <v>1053</v>
      </c>
      <c r="D12" s="268"/>
      <c r="E12" s="268"/>
      <c r="F12" s="268" t="s">
        <v>532</v>
      </c>
    </row>
    <row r="13" spans="1:6" x14ac:dyDescent="0.2">
      <c r="A13" s="406">
        <v>45343</v>
      </c>
      <c r="B13" s="268" t="s">
        <v>1162</v>
      </c>
      <c r="C13" s="268" t="s">
        <v>1053</v>
      </c>
      <c r="D13" s="268"/>
      <c r="E13" s="268"/>
      <c r="F13" s="268" t="s">
        <v>532</v>
      </c>
    </row>
    <row r="14" spans="1:6" x14ac:dyDescent="0.2">
      <c r="A14" s="406">
        <v>45344</v>
      </c>
      <c r="B14" s="268" t="s">
        <v>1159</v>
      </c>
      <c r="C14" s="268" t="s">
        <v>1053</v>
      </c>
      <c r="D14" s="406">
        <v>45349</v>
      </c>
      <c r="E14" s="406">
        <v>45349</v>
      </c>
      <c r="F14" s="268" t="s">
        <v>10</v>
      </c>
    </row>
    <row r="15" spans="1:6" x14ac:dyDescent="0.2">
      <c r="A15" s="406">
        <v>45344</v>
      </c>
      <c r="B15" s="268" t="s">
        <v>1152</v>
      </c>
      <c r="C15" s="268" t="s">
        <v>1053</v>
      </c>
      <c r="D15" s="406">
        <v>45349</v>
      </c>
      <c r="E15" s="406">
        <v>45349</v>
      </c>
      <c r="F15" s="268" t="s">
        <v>10</v>
      </c>
    </row>
    <row r="16" spans="1:6" x14ac:dyDescent="0.2">
      <c r="A16" s="406">
        <v>45344</v>
      </c>
      <c r="B16" s="268" t="s">
        <v>1161</v>
      </c>
      <c r="C16" s="268" t="s">
        <v>1053</v>
      </c>
      <c r="D16" s="406"/>
      <c r="E16" s="406"/>
      <c r="F16" s="268" t="s">
        <v>532</v>
      </c>
    </row>
    <row r="17" spans="1:6" x14ac:dyDescent="0.2">
      <c r="A17" s="406">
        <v>45350</v>
      </c>
      <c r="B17" s="268" t="s">
        <v>1167</v>
      </c>
      <c r="C17" s="268" t="s">
        <v>1057</v>
      </c>
      <c r="D17" s="406">
        <v>45350</v>
      </c>
      <c r="E17" s="406">
        <v>45350</v>
      </c>
      <c r="F17" s="268" t="s">
        <v>1168</v>
      </c>
    </row>
    <row r="18" spans="1:6" hidden="1" x14ac:dyDescent="0.2">
      <c r="A18" s="406">
        <v>45244</v>
      </c>
      <c r="B18" s="268" t="s">
        <v>1124</v>
      </c>
      <c r="C18" s="268" t="s">
        <v>1057</v>
      </c>
      <c r="D18" s="406">
        <v>45244</v>
      </c>
      <c r="E18" s="406">
        <v>45244</v>
      </c>
      <c r="F18" s="268" t="s">
        <v>618</v>
      </c>
    </row>
    <row r="19" spans="1:6" hidden="1" x14ac:dyDescent="0.2">
      <c r="A19" s="406">
        <v>45243</v>
      </c>
      <c r="B19" s="408" t="s">
        <v>1124</v>
      </c>
      <c r="C19" s="408" t="s">
        <v>1057</v>
      </c>
      <c r="D19" s="406">
        <v>45243</v>
      </c>
      <c r="E19" s="406">
        <v>45250</v>
      </c>
      <c r="F19" s="408" t="s">
        <v>1133</v>
      </c>
    </row>
    <row r="20" spans="1:6" hidden="1" x14ac:dyDescent="0.2">
      <c r="A20" s="406">
        <v>45243</v>
      </c>
      <c r="B20" s="408" t="s">
        <v>1124</v>
      </c>
      <c r="C20" s="408" t="s">
        <v>1057</v>
      </c>
      <c r="D20" s="406">
        <v>45243</v>
      </c>
      <c r="E20" s="406">
        <v>45250</v>
      </c>
      <c r="F20" s="408" t="s">
        <v>1081</v>
      </c>
    </row>
    <row r="21" spans="1:6" hidden="1" x14ac:dyDescent="0.2">
      <c r="A21" s="406">
        <v>45243</v>
      </c>
      <c r="B21" s="408" t="s">
        <v>1124</v>
      </c>
      <c r="C21" s="408" t="s">
        <v>1057</v>
      </c>
      <c r="D21" s="406">
        <v>45243</v>
      </c>
      <c r="E21" s="406">
        <v>45250</v>
      </c>
      <c r="F21" s="408" t="s">
        <v>1080</v>
      </c>
    </row>
    <row r="22" spans="1:6" hidden="1" x14ac:dyDescent="0.2">
      <c r="A22" s="409">
        <v>45097</v>
      </c>
      <c r="B22" s="410" t="s">
        <v>1079</v>
      </c>
      <c r="C22" s="410" t="s">
        <v>1057</v>
      </c>
      <c r="D22" s="409">
        <v>45097</v>
      </c>
      <c r="E22" s="409">
        <v>45127</v>
      </c>
      <c r="F22" s="410" t="s">
        <v>1088</v>
      </c>
    </row>
    <row r="23" spans="1:6" hidden="1" x14ac:dyDescent="0.2">
      <c r="A23" s="409">
        <v>45091</v>
      </c>
      <c r="B23" s="410" t="s">
        <v>1075</v>
      </c>
      <c r="C23" s="410" t="s">
        <v>1053</v>
      </c>
      <c r="D23" s="409">
        <v>45126</v>
      </c>
      <c r="E23" s="409">
        <v>45127</v>
      </c>
      <c r="F23" s="410" t="s">
        <v>532</v>
      </c>
    </row>
    <row r="24" spans="1:6" hidden="1" x14ac:dyDescent="0.2">
      <c r="A24" s="409">
        <v>45086</v>
      </c>
      <c r="B24" s="410" t="s">
        <v>1059</v>
      </c>
      <c r="C24" s="410" t="s">
        <v>1053</v>
      </c>
      <c r="D24" s="409">
        <v>45126</v>
      </c>
      <c r="E24" s="409">
        <v>45127</v>
      </c>
      <c r="F24" s="410" t="s">
        <v>532</v>
      </c>
    </row>
    <row r="25" spans="1:6" hidden="1" x14ac:dyDescent="0.2">
      <c r="A25" s="409">
        <v>45086</v>
      </c>
      <c r="B25" s="410" t="s">
        <v>1075</v>
      </c>
      <c r="C25" s="410" t="s">
        <v>1053</v>
      </c>
      <c r="D25" s="409">
        <v>45119</v>
      </c>
      <c r="E25" s="409">
        <v>45127</v>
      </c>
      <c r="F25" s="410" t="s">
        <v>10</v>
      </c>
    </row>
    <row r="26" spans="1:6" hidden="1" x14ac:dyDescent="0.2">
      <c r="A26" s="409">
        <v>45078</v>
      </c>
      <c r="B26" s="410" t="s">
        <v>1051</v>
      </c>
      <c r="C26" s="410" t="s">
        <v>1053</v>
      </c>
      <c r="D26" s="409">
        <v>45078</v>
      </c>
      <c r="E26" s="409">
        <v>45083</v>
      </c>
      <c r="F26" s="410" t="s">
        <v>10</v>
      </c>
    </row>
    <row r="27" spans="1:6" hidden="1" x14ac:dyDescent="0.2">
      <c r="A27" s="409">
        <v>45055</v>
      </c>
      <c r="B27" s="410" t="s">
        <v>1005</v>
      </c>
      <c r="C27" s="410" t="s">
        <v>1057</v>
      </c>
      <c r="D27" s="409">
        <v>45055</v>
      </c>
      <c r="E27" s="409">
        <v>45083</v>
      </c>
      <c r="F27" s="410" t="s">
        <v>1064</v>
      </c>
    </row>
    <row r="28" spans="1:6" hidden="1" x14ac:dyDescent="0.2">
      <c r="A28" s="409">
        <v>45047</v>
      </c>
      <c r="B28" s="410" t="s">
        <v>1058</v>
      </c>
      <c r="C28" s="410" t="s">
        <v>1053</v>
      </c>
      <c r="D28" s="409">
        <v>45047</v>
      </c>
      <c r="E28" s="409">
        <v>45083</v>
      </c>
      <c r="F28" s="410" t="s">
        <v>10</v>
      </c>
    </row>
    <row r="29" spans="1:6" hidden="1" x14ac:dyDescent="0.2">
      <c r="A29" s="409">
        <v>45047</v>
      </c>
      <c r="B29" s="410" t="s">
        <v>1059</v>
      </c>
      <c r="C29" s="410" t="s">
        <v>1053</v>
      </c>
      <c r="D29" s="409">
        <v>45047</v>
      </c>
      <c r="E29" s="409">
        <v>45083</v>
      </c>
      <c r="F29" s="410" t="s">
        <v>10</v>
      </c>
    </row>
    <row r="30" spans="1:6" ht="25.5" hidden="1" x14ac:dyDescent="0.2">
      <c r="A30" s="409">
        <v>45043</v>
      </c>
      <c r="B30" s="410" t="s">
        <v>1005</v>
      </c>
      <c r="C30" s="410" t="s">
        <v>1057</v>
      </c>
      <c r="D30" s="409">
        <v>45229</v>
      </c>
      <c r="E30" s="409">
        <v>45266</v>
      </c>
      <c r="F30" s="420" t="s">
        <v>1089</v>
      </c>
    </row>
    <row r="31" spans="1:6" hidden="1" x14ac:dyDescent="0.2">
      <c r="A31" s="409">
        <v>45028</v>
      </c>
      <c r="B31" s="410" t="s">
        <v>1038</v>
      </c>
      <c r="C31" s="410" t="s">
        <v>1053</v>
      </c>
      <c r="D31" s="409">
        <v>45065</v>
      </c>
      <c r="E31" s="409">
        <v>45083</v>
      </c>
      <c r="F31" s="410" t="s">
        <v>10</v>
      </c>
    </row>
    <row r="32" spans="1:6" hidden="1" x14ac:dyDescent="0.2">
      <c r="A32" s="409">
        <v>45020</v>
      </c>
      <c r="B32" s="410" t="s">
        <v>1038</v>
      </c>
      <c r="C32" s="410" t="s">
        <v>1053</v>
      </c>
      <c r="D32" s="409">
        <v>45062</v>
      </c>
      <c r="E32" s="409">
        <v>45083</v>
      </c>
      <c r="F32" s="410" t="s">
        <v>1055</v>
      </c>
    </row>
    <row r="33" spans="1:6" hidden="1" x14ac:dyDescent="0.2">
      <c r="A33" s="409">
        <v>45019</v>
      </c>
      <c r="B33" s="410" t="s">
        <v>1025</v>
      </c>
      <c r="C33" s="410" t="s">
        <v>1053</v>
      </c>
      <c r="D33" s="409">
        <v>45033</v>
      </c>
      <c r="E33" s="409">
        <v>45033</v>
      </c>
      <c r="F33" s="410" t="s">
        <v>1055</v>
      </c>
    </row>
    <row r="34" spans="1:6" hidden="1" x14ac:dyDescent="0.2">
      <c r="A34" s="409">
        <v>45019</v>
      </c>
      <c r="B34" s="410" t="s">
        <v>1006</v>
      </c>
      <c r="C34" s="410" t="s">
        <v>1053</v>
      </c>
      <c r="D34" s="409">
        <v>45034</v>
      </c>
      <c r="E34" s="409">
        <v>45034</v>
      </c>
      <c r="F34" s="410" t="s">
        <v>1055</v>
      </c>
    </row>
    <row r="35" spans="1:6" hidden="1" x14ac:dyDescent="0.2">
      <c r="A35" s="409">
        <v>45015</v>
      </c>
      <c r="B35" s="410" t="s">
        <v>1054</v>
      </c>
      <c r="C35" s="410" t="s">
        <v>1053</v>
      </c>
      <c r="D35" s="409">
        <v>45047</v>
      </c>
      <c r="E35" s="409">
        <v>45083</v>
      </c>
      <c r="F35" s="410" t="s">
        <v>10</v>
      </c>
    </row>
    <row r="36" spans="1:6" hidden="1" x14ac:dyDescent="0.2">
      <c r="A36" s="409">
        <v>44994</v>
      </c>
      <c r="B36" s="410" t="s">
        <v>1006</v>
      </c>
      <c r="C36" s="410" t="s">
        <v>1053</v>
      </c>
      <c r="D36" s="409">
        <v>44994</v>
      </c>
      <c r="E36" s="409">
        <v>44994</v>
      </c>
      <c r="F36" s="410" t="s">
        <v>10</v>
      </c>
    </row>
    <row r="37" spans="1:6" hidden="1" x14ac:dyDescent="0.2">
      <c r="A37" s="409">
        <v>44994</v>
      </c>
      <c r="B37" s="410" t="s">
        <v>1005</v>
      </c>
      <c r="C37" s="410" t="s">
        <v>1053</v>
      </c>
      <c r="D37" s="409">
        <v>44994</v>
      </c>
      <c r="E37" s="409">
        <v>44994</v>
      </c>
      <c r="F37" s="410" t="s">
        <v>10</v>
      </c>
    </row>
    <row r="38" spans="1:6" hidden="1" x14ac:dyDescent="0.2">
      <c r="A38" s="409">
        <v>44993</v>
      </c>
      <c r="B38" s="410" t="s">
        <v>1005</v>
      </c>
      <c r="C38" s="410" t="s">
        <v>1053</v>
      </c>
      <c r="D38" s="409">
        <v>45194</v>
      </c>
      <c r="E38" s="409">
        <v>45195</v>
      </c>
      <c r="F38" s="419" t="s">
        <v>263</v>
      </c>
    </row>
    <row r="39" spans="1:6" hidden="1" x14ac:dyDescent="0.2">
      <c r="A39" s="409">
        <v>44987</v>
      </c>
      <c r="B39" s="410" t="s">
        <v>1054</v>
      </c>
      <c r="C39" s="410" t="s">
        <v>1053</v>
      </c>
      <c r="D39" s="409">
        <v>45044</v>
      </c>
      <c r="E39" s="409">
        <v>45083</v>
      </c>
      <c r="F39" s="410" t="s">
        <v>1056</v>
      </c>
    </row>
    <row r="40" spans="1:6" hidden="1" x14ac:dyDescent="0.2">
      <c r="A40" s="409">
        <v>44986</v>
      </c>
      <c r="B40" s="410" t="s">
        <v>1051</v>
      </c>
      <c r="C40" s="410" t="s">
        <v>1053</v>
      </c>
      <c r="D40" s="412">
        <v>44356</v>
      </c>
      <c r="E40" s="409">
        <v>45126</v>
      </c>
      <c r="F40" s="410" t="s">
        <v>1056</v>
      </c>
    </row>
    <row r="41" spans="1:6" hidden="1" x14ac:dyDescent="0.2">
      <c r="A41" s="409">
        <v>44986</v>
      </c>
      <c r="B41" s="410" t="s">
        <v>1005</v>
      </c>
      <c r="C41" s="410" t="s">
        <v>1053</v>
      </c>
      <c r="D41" s="409">
        <v>44993</v>
      </c>
      <c r="E41" s="409">
        <v>44994</v>
      </c>
      <c r="F41" s="410" t="s">
        <v>1055</v>
      </c>
    </row>
    <row r="42" spans="1:6" x14ac:dyDescent="0.2">
      <c r="A42" s="406">
        <v>44984</v>
      </c>
      <c r="B42" s="268" t="s">
        <v>1052</v>
      </c>
      <c r="C42" s="268" t="s">
        <v>1053</v>
      </c>
      <c r="D42" s="408" t="s">
        <v>1061</v>
      </c>
      <c r="E42" s="268"/>
      <c r="F42" s="268" t="s">
        <v>1056</v>
      </c>
    </row>
    <row r="43" spans="1:6" x14ac:dyDescent="0.2">
      <c r="A43" s="450" t="s">
        <v>1191</v>
      </c>
      <c r="B43" s="449" t="s">
        <v>1152</v>
      </c>
      <c r="C43" s="449" t="s">
        <v>1057</v>
      </c>
      <c r="D43" s="450">
        <v>45365</v>
      </c>
      <c r="E43" s="8">
        <v>45420</v>
      </c>
      <c r="F43" s="449" t="s">
        <v>1190</v>
      </c>
    </row>
    <row r="44" spans="1:6" x14ac:dyDescent="0.2">
      <c r="A44" s="8">
        <v>45366</v>
      </c>
      <c r="B44" s="449" t="s">
        <v>1161</v>
      </c>
      <c r="C44" s="449" t="s">
        <v>1053</v>
      </c>
      <c r="D44" s="450">
        <v>45366</v>
      </c>
      <c r="E44" s="8">
        <v>45420</v>
      </c>
      <c r="F44" s="449" t="s">
        <v>10</v>
      </c>
    </row>
    <row r="45" spans="1:6" x14ac:dyDescent="0.2">
      <c r="A45" s="8">
        <v>45383</v>
      </c>
      <c r="B45" s="448" t="s">
        <v>1183</v>
      </c>
      <c r="C45" s="448" t="s">
        <v>1053</v>
      </c>
      <c r="D45" t="s">
        <v>1061</v>
      </c>
      <c r="E45" s="8">
        <v>45419</v>
      </c>
      <c r="F45" s="448" t="s">
        <v>10</v>
      </c>
    </row>
    <row r="46" spans="1:6" x14ac:dyDescent="0.2">
      <c r="A46" s="8">
        <v>45411</v>
      </c>
      <c r="B46" s="448" t="s">
        <v>1161</v>
      </c>
      <c r="C46" s="448" t="s">
        <v>1057</v>
      </c>
      <c r="D46" s="8">
        <v>45411</v>
      </c>
      <c r="E46" s="8">
        <v>45420</v>
      </c>
      <c r="F46" s="448" t="s">
        <v>1190</v>
      </c>
    </row>
  </sheetData>
  <sortState xmlns:xlrd2="http://schemas.microsoft.com/office/spreadsheetml/2017/richdata2" ref="A11:F42">
    <sortCondition descending="1" ref="A18:A42"/>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8D95-4C8C-4D61-AAC7-040F72F69F81}">
  <dimension ref="A1:E14"/>
  <sheetViews>
    <sheetView workbookViewId="0">
      <selection activeCell="E11" sqref="E11"/>
    </sheetView>
  </sheetViews>
  <sheetFormatPr defaultRowHeight="12.75" x14ac:dyDescent="0.2"/>
  <cols>
    <col min="2" max="2" width="8" bestFit="1" customWidth="1"/>
    <col min="3" max="4" width="12.28515625" bestFit="1" customWidth="1"/>
    <col min="5" max="5" width="35.7109375" bestFit="1" customWidth="1"/>
    <col min="6" max="6" width="52.7109375" customWidth="1"/>
  </cols>
  <sheetData>
    <row r="1" spans="1:5" x14ac:dyDescent="0.2">
      <c r="A1" t="s">
        <v>1050</v>
      </c>
    </row>
    <row r="2" spans="1:5" x14ac:dyDescent="0.2">
      <c r="A2" s="268" t="s">
        <v>1049</v>
      </c>
      <c r="B2" s="268" t="s">
        <v>1046</v>
      </c>
      <c r="C2" s="268" t="s">
        <v>1047</v>
      </c>
      <c r="D2" s="268" t="s">
        <v>2</v>
      </c>
      <c r="E2" s="268" t="s">
        <v>5</v>
      </c>
    </row>
    <row r="3" spans="1:5" x14ac:dyDescent="0.2">
      <c r="A3" s="268" t="s">
        <v>1005</v>
      </c>
      <c r="B3" s="268" t="s">
        <v>1057</v>
      </c>
      <c r="C3" s="406">
        <v>45043</v>
      </c>
      <c r="D3" s="268" t="s">
        <v>1092</v>
      </c>
      <c r="E3" s="268" t="s">
        <v>1093</v>
      </c>
    </row>
    <row r="4" spans="1:5" x14ac:dyDescent="0.2">
      <c r="A4" s="268" t="s">
        <v>1005</v>
      </c>
      <c r="B4" s="268" t="s">
        <v>1057</v>
      </c>
      <c r="C4" s="406">
        <v>45055</v>
      </c>
      <c r="D4" s="268" t="s">
        <v>1063</v>
      </c>
      <c r="E4" s="268" t="s">
        <v>1094</v>
      </c>
    </row>
    <row r="5" spans="1:5" x14ac:dyDescent="0.2">
      <c r="A5" s="268" t="s">
        <v>1005</v>
      </c>
      <c r="B5" s="268" t="s">
        <v>1115</v>
      </c>
      <c r="C5" s="406">
        <v>45194</v>
      </c>
      <c r="D5" s="268" t="s">
        <v>1127</v>
      </c>
      <c r="E5" s="268" t="s">
        <v>1134</v>
      </c>
    </row>
    <row r="6" spans="1:5" x14ac:dyDescent="0.2">
      <c r="A6" s="268"/>
      <c r="B6" s="268"/>
      <c r="C6" s="268"/>
      <c r="D6" s="268"/>
      <c r="E6" s="268"/>
    </row>
    <row r="7" spans="1:5" x14ac:dyDescent="0.2">
      <c r="A7" s="268"/>
      <c r="B7" s="268"/>
      <c r="C7" s="268"/>
      <c r="D7" s="268"/>
      <c r="E7" s="268"/>
    </row>
    <row r="8" spans="1:5" x14ac:dyDescent="0.2">
      <c r="A8" s="268"/>
      <c r="B8" s="268"/>
      <c r="C8" s="268"/>
      <c r="D8" s="268"/>
      <c r="E8" s="268"/>
    </row>
    <row r="9" spans="1:5" x14ac:dyDescent="0.2">
      <c r="A9" t="s">
        <v>1169</v>
      </c>
    </row>
    <row r="10" spans="1:5" x14ac:dyDescent="0.2">
      <c r="A10" s="268" t="s">
        <v>1049</v>
      </c>
      <c r="B10" s="268" t="s">
        <v>1046</v>
      </c>
      <c r="C10" s="268" t="s">
        <v>1047</v>
      </c>
      <c r="D10" s="268" t="s">
        <v>2</v>
      </c>
      <c r="E10" s="268" t="s">
        <v>5</v>
      </c>
    </row>
    <row r="11" spans="1:5" x14ac:dyDescent="0.2">
      <c r="A11" s="268" t="s">
        <v>1167</v>
      </c>
      <c r="B11" s="268" t="s">
        <v>1057</v>
      </c>
      <c r="C11" s="406">
        <v>45350</v>
      </c>
      <c r="D11" s="268"/>
      <c r="E11" s="268" t="s">
        <v>1093</v>
      </c>
    </row>
    <row r="12" spans="1:5" x14ac:dyDescent="0.2">
      <c r="A12" s="268"/>
      <c r="B12" s="268"/>
      <c r="C12" s="406"/>
      <c r="D12" s="268"/>
      <c r="E12" s="268"/>
    </row>
    <row r="13" spans="1:5" x14ac:dyDescent="0.2">
      <c r="A13" s="268"/>
      <c r="B13" s="268"/>
      <c r="C13" s="406"/>
      <c r="D13" s="268"/>
      <c r="E13" s="268"/>
    </row>
    <row r="14" spans="1:5" x14ac:dyDescent="0.2">
      <c r="A14" s="268"/>
      <c r="B14" s="268"/>
      <c r="C14" s="268"/>
      <c r="D14" s="268"/>
      <c r="E14" s="268"/>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
  <sheetViews>
    <sheetView showGridLines="0" zoomScaleNormal="100" zoomScaleSheetLayoutView="75" workbookViewId="0">
      <selection activeCell="G14" sqref="G14"/>
    </sheetView>
  </sheetViews>
  <sheetFormatPr defaultRowHeight="12.75" x14ac:dyDescent="0.2"/>
  <cols>
    <col min="1" max="1" width="22.28515625" bestFit="1" customWidth="1"/>
    <col min="2" max="2" width="14.28515625" customWidth="1"/>
    <col min="3" max="3" width="17" customWidth="1"/>
    <col min="4" max="4" width="12.85546875" customWidth="1"/>
    <col min="5" max="5" width="17.7109375" bestFit="1" customWidth="1"/>
    <col min="6" max="6" width="14.28515625" customWidth="1"/>
    <col min="7" max="7" width="24.7109375" customWidth="1"/>
    <col min="8" max="8" width="23" customWidth="1"/>
  </cols>
  <sheetData>
    <row r="1" spans="1:7" ht="13.5" thickBot="1" x14ac:dyDescent="0.25"/>
    <row r="2" spans="1:7" ht="21" thickBot="1" x14ac:dyDescent="0.35">
      <c r="A2" s="597" t="s">
        <v>563</v>
      </c>
      <c r="B2" s="598"/>
      <c r="C2" s="598"/>
      <c r="D2" s="598"/>
      <c r="E2" s="598"/>
      <c r="F2" s="598"/>
      <c r="G2" s="599"/>
    </row>
    <row r="3" spans="1:7" ht="20.25" x14ac:dyDescent="0.3">
      <c r="A3" s="39"/>
      <c r="B3" s="13" t="s">
        <v>474</v>
      </c>
      <c r="C3" s="13"/>
      <c r="D3" s="13"/>
      <c r="E3" s="14"/>
      <c r="F3" s="13"/>
      <c r="G3" s="37"/>
    </row>
    <row r="4" spans="1:7" x14ac:dyDescent="0.2">
      <c r="A4" s="39" t="s">
        <v>477</v>
      </c>
      <c r="B4" s="18">
        <v>20000</v>
      </c>
      <c r="C4" s="18"/>
      <c r="D4" s="18"/>
      <c r="E4" s="155"/>
      <c r="F4" s="13"/>
      <c r="G4" s="37"/>
    </row>
    <row r="5" spans="1:7" x14ac:dyDescent="0.2">
      <c r="A5" s="39" t="s">
        <v>475</v>
      </c>
      <c r="B5" s="18">
        <f>SUM(B4:B4)</f>
        <v>20000</v>
      </c>
      <c r="C5" s="18"/>
      <c r="D5" s="18"/>
      <c r="E5" s="125"/>
      <c r="F5" s="13"/>
      <c r="G5" s="37"/>
    </row>
    <row r="6" spans="1:7" x14ac:dyDescent="0.2">
      <c r="A6" s="39" t="s">
        <v>559</v>
      </c>
      <c r="B6" s="18">
        <f>C15</f>
        <v>19903</v>
      </c>
      <c r="C6" s="18"/>
      <c r="D6" s="18"/>
      <c r="E6" s="146"/>
      <c r="F6" s="13"/>
      <c r="G6" s="37"/>
    </row>
    <row r="7" spans="1:7" x14ac:dyDescent="0.2">
      <c r="A7" s="39" t="s">
        <v>35</v>
      </c>
      <c r="B7" s="38">
        <f>B5-B6</f>
        <v>97</v>
      </c>
      <c r="C7" s="18"/>
      <c r="D7" s="217"/>
      <c r="E7" s="554"/>
      <c r="F7" s="555"/>
      <c r="G7" s="141"/>
    </row>
    <row r="8" spans="1:7" ht="21" thickBot="1" x14ac:dyDescent="0.35">
      <c r="A8" s="39"/>
      <c r="B8" s="13"/>
      <c r="C8" s="13"/>
      <c r="D8" s="13"/>
      <c r="E8" s="14"/>
      <c r="F8" s="13"/>
      <c r="G8" s="37"/>
    </row>
    <row r="9" spans="1:7" ht="25.5" x14ac:dyDescent="0.2">
      <c r="A9" s="19" t="s">
        <v>41</v>
      </c>
      <c r="B9" s="20" t="s">
        <v>561</v>
      </c>
      <c r="C9" s="20" t="s">
        <v>64</v>
      </c>
      <c r="D9" s="20" t="s">
        <v>560</v>
      </c>
      <c r="E9" s="20" t="s">
        <v>37</v>
      </c>
      <c r="F9" s="20" t="s">
        <v>40</v>
      </c>
      <c r="G9" s="218" t="s">
        <v>5</v>
      </c>
    </row>
    <row r="10" spans="1:7" x14ac:dyDescent="0.2">
      <c r="A10" s="33"/>
      <c r="B10" s="33"/>
      <c r="C10" s="59"/>
      <c r="D10" s="33"/>
      <c r="E10" s="59"/>
      <c r="F10" s="33"/>
      <c r="G10" s="33"/>
    </row>
    <row r="11" spans="1:7" x14ac:dyDescent="0.2">
      <c r="A11" s="25" t="s">
        <v>42</v>
      </c>
      <c r="B11" s="41"/>
      <c r="C11" s="151"/>
      <c r="D11" s="53"/>
      <c r="E11" s="53"/>
      <c r="F11" s="41"/>
      <c r="G11" s="43"/>
    </row>
    <row r="12" spans="1:7" x14ac:dyDescent="0.2">
      <c r="A12" s="150"/>
      <c r="B12" s="164" t="s">
        <v>616</v>
      </c>
      <c r="C12" s="58">
        <v>5000</v>
      </c>
      <c r="D12" s="167">
        <v>43440</v>
      </c>
      <c r="E12" s="151">
        <v>5000</v>
      </c>
      <c r="F12" s="53" t="s">
        <v>619</v>
      </c>
      <c r="G12" s="43" t="s">
        <v>620</v>
      </c>
    </row>
    <row r="13" spans="1:7" x14ac:dyDescent="0.2">
      <c r="A13" s="150"/>
      <c r="B13" s="164" t="s">
        <v>617</v>
      </c>
      <c r="C13" s="58">
        <v>6528</v>
      </c>
      <c r="D13" s="167">
        <v>43444</v>
      </c>
      <c r="E13" s="151">
        <v>6528</v>
      </c>
      <c r="F13" s="53" t="s">
        <v>619</v>
      </c>
      <c r="G13" s="144" t="s">
        <v>620</v>
      </c>
    </row>
    <row r="14" spans="1:7" x14ac:dyDescent="0.2">
      <c r="A14" s="150"/>
      <c r="B14" s="164" t="s">
        <v>618</v>
      </c>
      <c r="C14" s="58">
        <v>8375</v>
      </c>
      <c r="D14" s="53">
        <v>43452</v>
      </c>
      <c r="E14" s="151">
        <f>C14</f>
        <v>8375</v>
      </c>
      <c r="F14" s="53" t="s">
        <v>619</v>
      </c>
      <c r="G14" s="144" t="s">
        <v>620</v>
      </c>
    </row>
    <row r="15" spans="1:7" ht="13.5" thickBot="1" x14ac:dyDescent="0.25">
      <c r="A15" s="28" t="s">
        <v>43</v>
      </c>
      <c r="B15" s="29"/>
      <c r="C15" s="56">
        <f>SUM(C11:C14)</f>
        <v>19903</v>
      </c>
      <c r="D15" s="29"/>
      <c r="E15" s="56">
        <f>SUM(E11:E14)</f>
        <v>19903</v>
      </c>
      <c r="F15" s="29"/>
      <c r="G15" s="30"/>
    </row>
    <row r="16" spans="1:7" ht="13.5" thickBot="1" x14ac:dyDescent="0.25">
      <c r="A16" s="211"/>
      <c r="B16" s="208"/>
      <c r="C16" s="209"/>
      <c r="D16" s="208"/>
      <c r="E16" s="209"/>
      <c r="F16" s="208"/>
      <c r="G16" s="210"/>
    </row>
    <row r="18" spans="1:12" ht="18.75" customHeight="1" x14ac:dyDescent="0.3">
      <c r="A18" s="11"/>
      <c r="B18" s="11"/>
      <c r="C18" s="11"/>
      <c r="D18" s="11"/>
      <c r="E18" s="11"/>
      <c r="F18" s="11"/>
      <c r="G18" s="11"/>
      <c r="I18" s="9"/>
      <c r="J18" s="9"/>
      <c r="K18" s="9"/>
      <c r="L18" s="9"/>
    </row>
  </sheetData>
  <mergeCells count="2">
    <mergeCell ref="A2:G2"/>
    <mergeCell ref="E7:F7"/>
  </mergeCells>
  <pageMargins left="0.69" right="0.28999999999999998" top="0.48" bottom="0.44" header="0.5" footer="0.5"/>
  <pageSetup scale="68" orientation="landscape" r:id="rId1"/>
  <headerFooter alignWithMargins="0">
    <oddFooter>&amp;CCurrent as of &amp;D</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
  <sheetViews>
    <sheetView showGridLines="0" zoomScaleNormal="100" zoomScaleSheetLayoutView="75" workbookViewId="0">
      <selection activeCell="G14" sqref="G14"/>
    </sheetView>
  </sheetViews>
  <sheetFormatPr defaultRowHeight="12.75" x14ac:dyDescent="0.2"/>
  <cols>
    <col min="1" max="1" width="22.28515625" bestFit="1" customWidth="1"/>
    <col min="2" max="2" width="14.28515625" customWidth="1"/>
    <col min="3" max="3" width="17" customWidth="1"/>
    <col min="4" max="4" width="12.85546875" customWidth="1"/>
    <col min="5" max="5" width="17.7109375" bestFit="1" customWidth="1"/>
    <col min="6" max="6" width="14.28515625" customWidth="1"/>
    <col min="7" max="7" width="24.7109375" customWidth="1"/>
    <col min="8" max="8" width="23" customWidth="1"/>
  </cols>
  <sheetData>
    <row r="1" spans="1:7" ht="13.5" thickBot="1" x14ac:dyDescent="0.25"/>
    <row r="2" spans="1:7" ht="21" thickBot="1" x14ac:dyDescent="0.35">
      <c r="A2" s="597" t="s">
        <v>562</v>
      </c>
      <c r="B2" s="598"/>
      <c r="C2" s="598"/>
      <c r="D2" s="598"/>
      <c r="E2" s="598"/>
      <c r="F2" s="598"/>
      <c r="G2" s="599"/>
    </row>
    <row r="3" spans="1:7" ht="20.25" x14ac:dyDescent="0.3">
      <c r="A3" s="39"/>
      <c r="B3" s="13" t="s">
        <v>474</v>
      </c>
      <c r="C3" s="13"/>
      <c r="D3" s="13"/>
      <c r="E3" s="14"/>
      <c r="F3" s="13"/>
      <c r="G3" s="37"/>
    </row>
    <row r="4" spans="1:7" x14ac:dyDescent="0.2">
      <c r="A4" s="39" t="s">
        <v>477</v>
      </c>
      <c r="B4" s="18">
        <v>20000</v>
      </c>
      <c r="C4" s="18"/>
      <c r="D4" s="18"/>
      <c r="E4" s="155"/>
      <c r="F4" s="13"/>
      <c r="G4" s="37"/>
    </row>
    <row r="5" spans="1:7" x14ac:dyDescent="0.2">
      <c r="A5" s="39" t="s">
        <v>475</v>
      </c>
      <c r="B5" s="18">
        <f>SUM(B4:B4)</f>
        <v>20000</v>
      </c>
      <c r="C5" s="18"/>
      <c r="D5" s="18"/>
      <c r="E5" s="125"/>
      <c r="F5" s="13"/>
      <c r="G5" s="37"/>
    </row>
    <row r="6" spans="1:7" x14ac:dyDescent="0.2">
      <c r="A6" s="39" t="s">
        <v>559</v>
      </c>
      <c r="B6" s="18">
        <f>C15</f>
        <v>19903</v>
      </c>
      <c r="C6" s="18"/>
      <c r="D6" s="18"/>
      <c r="E6" s="146"/>
      <c r="F6" s="13"/>
      <c r="G6" s="37"/>
    </row>
    <row r="7" spans="1:7" x14ac:dyDescent="0.2">
      <c r="A7" s="39" t="s">
        <v>35</v>
      </c>
      <c r="B7" s="38">
        <f>B5-B6</f>
        <v>97</v>
      </c>
      <c r="C7" s="18"/>
      <c r="D7" s="217"/>
      <c r="E7" s="554"/>
      <c r="F7" s="555"/>
      <c r="G7" s="141"/>
    </row>
    <row r="8" spans="1:7" ht="21" thickBot="1" x14ac:dyDescent="0.35">
      <c r="A8" s="39"/>
      <c r="B8" s="13"/>
      <c r="C8" s="13"/>
      <c r="D8" s="13"/>
      <c r="E8" s="14"/>
      <c r="F8" s="13"/>
      <c r="G8" s="37"/>
    </row>
    <row r="9" spans="1:7" ht="25.5" x14ac:dyDescent="0.2">
      <c r="A9" s="19" t="s">
        <v>41</v>
      </c>
      <c r="B9" s="20" t="s">
        <v>561</v>
      </c>
      <c r="C9" s="20" t="s">
        <v>64</v>
      </c>
      <c r="D9" s="20" t="s">
        <v>560</v>
      </c>
      <c r="E9" s="20" t="s">
        <v>37</v>
      </c>
      <c r="F9" s="20" t="s">
        <v>40</v>
      </c>
      <c r="G9" s="218" t="s">
        <v>5</v>
      </c>
    </row>
    <row r="10" spans="1:7" x14ac:dyDescent="0.2">
      <c r="A10" s="33"/>
      <c r="B10" s="33"/>
      <c r="C10" s="59"/>
      <c r="D10" s="33"/>
      <c r="E10" s="59"/>
      <c r="F10" s="33"/>
      <c r="G10" s="33"/>
    </row>
    <row r="11" spans="1:7" x14ac:dyDescent="0.2">
      <c r="A11" s="25" t="s">
        <v>42</v>
      </c>
      <c r="B11" s="41"/>
      <c r="C11" s="151"/>
      <c r="D11" s="53"/>
      <c r="E11" s="53"/>
      <c r="F11" s="41"/>
      <c r="G11" s="43"/>
    </row>
    <row r="12" spans="1:7" x14ac:dyDescent="0.2">
      <c r="A12" s="150"/>
      <c r="B12" s="164" t="s">
        <v>616</v>
      </c>
      <c r="C12" s="58">
        <v>5000</v>
      </c>
      <c r="D12" s="167">
        <v>43440</v>
      </c>
      <c r="E12" s="151">
        <v>5000</v>
      </c>
      <c r="F12" s="53" t="s">
        <v>619</v>
      </c>
      <c r="G12" s="43" t="s">
        <v>620</v>
      </c>
    </row>
    <row r="13" spans="1:7" x14ac:dyDescent="0.2">
      <c r="A13" s="150"/>
      <c r="B13" s="164" t="s">
        <v>617</v>
      </c>
      <c r="C13" s="58">
        <v>6528</v>
      </c>
      <c r="D13" s="167">
        <v>43444</v>
      </c>
      <c r="E13" s="151">
        <v>6528</v>
      </c>
      <c r="F13" s="53" t="s">
        <v>619</v>
      </c>
      <c r="G13" s="144" t="s">
        <v>620</v>
      </c>
    </row>
    <row r="14" spans="1:7" x14ac:dyDescent="0.2">
      <c r="A14" s="150"/>
      <c r="B14" s="164" t="s">
        <v>618</v>
      </c>
      <c r="C14" s="58">
        <v>8375</v>
      </c>
      <c r="D14" s="53">
        <v>43452</v>
      </c>
      <c r="E14" s="151">
        <f>C14</f>
        <v>8375</v>
      </c>
      <c r="F14" s="53" t="s">
        <v>619</v>
      </c>
      <c r="G14" s="144" t="s">
        <v>620</v>
      </c>
    </row>
    <row r="15" spans="1:7" ht="13.5" thickBot="1" x14ac:dyDescent="0.25">
      <c r="A15" s="28" t="s">
        <v>43</v>
      </c>
      <c r="B15" s="29"/>
      <c r="C15" s="56">
        <f>SUM(C11:C14)</f>
        <v>19903</v>
      </c>
      <c r="D15" s="29"/>
      <c r="E15" s="56">
        <f>SUM(E11:E14)</f>
        <v>19903</v>
      </c>
      <c r="F15" s="29"/>
      <c r="G15" s="30"/>
    </row>
    <row r="16" spans="1:7" ht="13.5" thickBot="1" x14ac:dyDescent="0.25">
      <c r="A16" s="211"/>
      <c r="B16" s="208"/>
      <c r="C16" s="209"/>
      <c r="D16" s="208"/>
      <c r="E16" s="209"/>
      <c r="F16" s="208"/>
      <c r="G16" s="210"/>
    </row>
    <row r="18" spans="1:12" ht="18.75" customHeight="1" x14ac:dyDescent="0.3">
      <c r="A18" s="11"/>
      <c r="B18" s="11"/>
      <c r="C18" s="11"/>
      <c r="D18" s="11"/>
      <c r="E18" s="11"/>
      <c r="F18" s="11"/>
      <c r="G18" s="11"/>
      <c r="I18" s="9"/>
      <c r="J18" s="9"/>
      <c r="K18" s="9"/>
      <c r="L18" s="9"/>
    </row>
  </sheetData>
  <mergeCells count="2">
    <mergeCell ref="A2:G2"/>
    <mergeCell ref="E7:F7"/>
  </mergeCells>
  <pageMargins left="0.69" right="0.28999999999999998" top="0.48" bottom="0.44" header="0.5" footer="0.5"/>
  <pageSetup scale="68" orientation="landscape" r:id="rId1"/>
  <headerFooter alignWithMargins="0">
    <oddFooter>&amp;CCurrent as of &amp;D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topLeftCell="A6" zoomScale="91" zoomScaleNormal="100" workbookViewId="0">
      <selection activeCell="V4" sqref="V4"/>
    </sheetView>
  </sheetViews>
  <sheetFormatPr defaultRowHeight="12.75" x14ac:dyDescent="0.2"/>
  <cols>
    <col min="1" max="1" width="11.85546875" bestFit="1" customWidth="1"/>
    <col min="2" max="2" width="11.140625" bestFit="1" customWidth="1"/>
    <col min="3" max="3" width="10.85546875" bestFit="1" customWidth="1"/>
    <col min="4" max="4" width="10.85546875" customWidth="1"/>
    <col min="5" max="5" width="10.42578125" customWidth="1"/>
    <col min="6" max="6" width="11.28515625" bestFit="1" customWidth="1"/>
    <col min="7" max="7" width="13.140625" bestFit="1" customWidth="1"/>
    <col min="8" max="8" width="13.140625" customWidth="1"/>
    <col min="9" max="9" width="10.7109375" customWidth="1"/>
    <col min="10" max="10" width="11.28515625" bestFit="1" customWidth="1"/>
    <col min="11" max="11" width="13.28515625" customWidth="1"/>
    <col min="12" max="12" width="12.5703125" customWidth="1"/>
    <col min="13" max="13" width="10.5703125" customWidth="1"/>
    <col min="14" max="14" width="11.85546875" bestFit="1" customWidth="1"/>
    <col min="15" max="15" width="11.42578125" bestFit="1" customWidth="1"/>
    <col min="16" max="16" width="14" bestFit="1" customWidth="1"/>
    <col min="17" max="17" width="14" customWidth="1"/>
    <col min="18" max="18" width="14" bestFit="1" customWidth="1"/>
    <col min="19" max="19" width="11.42578125" bestFit="1" customWidth="1"/>
    <col min="20" max="20" width="14" bestFit="1" customWidth="1"/>
    <col min="21" max="21" width="14" customWidth="1"/>
    <col min="22" max="22" width="14" bestFit="1" customWidth="1"/>
    <col min="23" max="23" width="13.85546875" customWidth="1"/>
    <col min="24" max="24" width="13.7109375" customWidth="1"/>
    <col min="25" max="25" width="13.7109375" hidden="1" customWidth="1"/>
    <col min="26" max="26" width="13.85546875" hidden="1" customWidth="1"/>
    <col min="27" max="27" width="15" hidden="1" customWidth="1"/>
    <col min="28" max="29" width="8.85546875" customWidth="1"/>
  </cols>
  <sheetData>
    <row r="1" spans="1:27" ht="14.25" customHeight="1" thickBot="1" x14ac:dyDescent="0.25">
      <c r="A1" s="548" t="s">
        <v>999</v>
      </c>
      <c r="B1" s="530"/>
      <c r="C1" s="530"/>
      <c r="D1" s="530"/>
      <c r="E1" s="530"/>
      <c r="F1" s="530"/>
      <c r="G1" s="530"/>
      <c r="H1" s="530"/>
      <c r="I1" s="530"/>
      <c r="J1" s="530"/>
      <c r="K1" s="530"/>
      <c r="L1" s="530"/>
      <c r="M1" s="530"/>
      <c r="N1" s="548" t="s">
        <v>999</v>
      </c>
      <c r="O1" s="549"/>
      <c r="P1" s="549"/>
      <c r="Q1" s="549"/>
      <c r="R1" s="549"/>
      <c r="S1" s="549"/>
      <c r="T1" s="549"/>
      <c r="U1" s="549"/>
      <c r="V1" s="549"/>
      <c r="W1" s="549"/>
      <c r="X1" s="549"/>
      <c r="Y1" s="545" t="s">
        <v>695</v>
      </c>
      <c r="Z1" s="529"/>
      <c r="AA1" s="529"/>
    </row>
    <row r="2" spans="1:27" ht="12.75" customHeight="1" x14ac:dyDescent="0.2">
      <c r="B2" s="541" t="s">
        <v>52</v>
      </c>
      <c r="C2" s="542"/>
      <c r="D2" s="542"/>
      <c r="E2" s="543"/>
      <c r="F2" s="541" t="s">
        <v>53</v>
      </c>
      <c r="G2" s="542"/>
      <c r="H2" s="542"/>
      <c r="I2" s="543"/>
      <c r="J2" s="541" t="s">
        <v>14</v>
      </c>
      <c r="K2" s="542"/>
      <c r="L2" s="542"/>
      <c r="M2" s="543"/>
      <c r="O2" s="541" t="s">
        <v>55</v>
      </c>
      <c r="P2" s="542"/>
      <c r="Q2" s="542"/>
      <c r="R2" s="543"/>
      <c r="S2" s="541" t="s">
        <v>56</v>
      </c>
      <c r="T2" s="542"/>
      <c r="U2" s="542"/>
      <c r="V2" s="543"/>
      <c r="W2" s="544" t="s">
        <v>101</v>
      </c>
      <c r="X2" s="529"/>
      <c r="Y2" s="11"/>
      <c r="Z2" s="544" t="s">
        <v>104</v>
      </c>
      <c r="AA2" s="529"/>
    </row>
    <row r="3" spans="1:27" ht="24.6" customHeight="1" x14ac:dyDescent="0.2">
      <c r="B3" s="280" t="s">
        <v>10</v>
      </c>
      <c r="C3" t="s">
        <v>44</v>
      </c>
      <c r="D3" t="s">
        <v>42</v>
      </c>
      <c r="E3" s="343" t="s">
        <v>1001</v>
      </c>
      <c r="F3" t="s">
        <v>10</v>
      </c>
      <c r="G3" t="s">
        <v>54</v>
      </c>
      <c r="H3" t="s">
        <v>42</v>
      </c>
      <c r="I3" s="281" t="s">
        <v>968</v>
      </c>
      <c r="J3" t="s">
        <v>10</v>
      </c>
      <c r="K3" t="s">
        <v>54</v>
      </c>
      <c r="L3" t="s">
        <v>42</v>
      </c>
      <c r="M3" s="281" t="s">
        <v>968</v>
      </c>
      <c r="O3" s="280" t="s">
        <v>10</v>
      </c>
      <c r="P3" t="s">
        <v>54</v>
      </c>
      <c r="Q3" t="s">
        <v>42</v>
      </c>
      <c r="R3" s="281" t="s">
        <v>1004</v>
      </c>
      <c r="S3" s="280" t="s">
        <v>10</v>
      </c>
      <c r="T3" t="s">
        <v>54</v>
      </c>
      <c r="U3" t="s">
        <v>42</v>
      </c>
      <c r="V3" s="116" t="s">
        <v>968</v>
      </c>
      <c r="W3" s="93" t="s">
        <v>10</v>
      </c>
      <c r="X3" s="93" t="s">
        <v>42</v>
      </c>
      <c r="Y3" s="93"/>
      <c r="Z3" s="93" t="s">
        <v>102</v>
      </c>
      <c r="AA3" s="93" t="s">
        <v>103</v>
      </c>
    </row>
    <row r="4" spans="1:27" ht="24.6" customHeight="1" x14ac:dyDescent="0.2">
      <c r="A4" t="s">
        <v>58</v>
      </c>
      <c r="B4" s="282" t="e">
        <f>#REF!</f>
        <v>#REF!</v>
      </c>
      <c r="C4" s="45" t="e">
        <f>#REF!</f>
        <v>#REF!</v>
      </c>
      <c r="D4" s="45" t="e">
        <f>#REF!</f>
        <v>#REF!</v>
      </c>
      <c r="E4" s="283"/>
      <c r="F4" s="45">
        <f>PACIFIC!B109</f>
        <v>0</v>
      </c>
      <c r="G4" s="45">
        <f>PACIFIC!C109</f>
        <v>57414.540725999999</v>
      </c>
      <c r="H4" s="45">
        <f>PACIFIC!C109</f>
        <v>57414.540725999999</v>
      </c>
      <c r="I4" s="283">
        <v>0</v>
      </c>
      <c r="J4" s="45">
        <f>NWN!B106</f>
        <v>0</v>
      </c>
      <c r="K4" s="45">
        <f>NWN!C106</f>
        <v>81867.259821779997</v>
      </c>
      <c r="L4" s="45">
        <f>NWN!D106</f>
        <v>143750</v>
      </c>
      <c r="M4" s="281">
        <v>0</v>
      </c>
      <c r="N4" t="s">
        <v>58</v>
      </c>
      <c r="O4" s="282">
        <f>CASCADE!B88</f>
        <v>0</v>
      </c>
      <c r="P4" s="45">
        <f>CASCADE!C88</f>
        <v>42713.059339499996</v>
      </c>
      <c r="Q4" s="45">
        <f>CASCADE!D88</f>
        <v>34500</v>
      </c>
      <c r="R4" s="281">
        <v>0</v>
      </c>
      <c r="S4" s="282">
        <f>AVISTA!B99</f>
        <v>0</v>
      </c>
      <c r="T4" s="45">
        <f>AVISTA!C99</f>
        <v>42713.059339499996</v>
      </c>
      <c r="U4" s="45">
        <f>AVISTA!D99</f>
        <v>70000</v>
      </c>
      <c r="V4" s="116">
        <v>0</v>
      </c>
      <c r="W4" s="45">
        <f>'IDAHO POWER'!B85</f>
        <v>0</v>
      </c>
      <c r="X4" s="45">
        <f>'IDAHO POWER'!C85</f>
        <v>31500</v>
      </c>
      <c r="Y4" s="97" t="s">
        <v>58</v>
      </c>
      <c r="Z4" s="45">
        <v>0</v>
      </c>
      <c r="AA4" s="45">
        <v>0</v>
      </c>
    </row>
    <row r="5" spans="1:27" ht="24.6" customHeight="1" x14ac:dyDescent="0.2">
      <c r="A5" t="s">
        <v>57</v>
      </c>
      <c r="B5" s="282" t="e">
        <f>#REF!</f>
        <v>#REF!</v>
      </c>
      <c r="C5" s="45" t="e">
        <f>#REF!</f>
        <v>#REF!</v>
      </c>
      <c r="D5" s="45" t="e">
        <f>#REF!</f>
        <v>#REF!</v>
      </c>
      <c r="E5" s="283" t="e">
        <f>#REF!</f>
        <v>#REF!</v>
      </c>
      <c r="F5" s="45">
        <f>PACIFIC!B108</f>
        <v>101125</v>
      </c>
      <c r="G5" s="45">
        <f>PACIFIC!C108</f>
        <v>81867.259821779997</v>
      </c>
      <c r="H5" s="45">
        <f>PACIFIC!C108</f>
        <v>81867.259821779997</v>
      </c>
      <c r="I5" s="283">
        <v>10000</v>
      </c>
      <c r="J5" s="45">
        <f>NWN!B105</f>
        <v>101125</v>
      </c>
      <c r="K5" s="45">
        <f>NWN!C106</f>
        <v>81867.259821779997</v>
      </c>
      <c r="L5" s="45">
        <f>NWN!D105</f>
        <v>143750</v>
      </c>
      <c r="M5" s="281">
        <v>10000</v>
      </c>
      <c r="N5" t="s">
        <v>57</v>
      </c>
      <c r="O5" s="282">
        <f>CASCADE!B87</f>
        <v>39500</v>
      </c>
      <c r="P5" s="45">
        <f>CASCADE!C87</f>
        <v>42713.059339499996</v>
      </c>
      <c r="Q5" s="45">
        <f>CASCADE!D87</f>
        <v>34500</v>
      </c>
      <c r="R5" s="281">
        <v>2500</v>
      </c>
      <c r="S5" s="282">
        <f>AVISTA!B98</f>
        <v>44500</v>
      </c>
      <c r="T5" s="45">
        <f>AVISTA!C98</f>
        <v>42713.059339499996</v>
      </c>
      <c r="U5" s="45">
        <f>AVISTA!D98</f>
        <v>70000</v>
      </c>
      <c r="V5" s="116">
        <v>5000</v>
      </c>
      <c r="W5" s="45">
        <f>'IDAHO POWER'!B84</f>
        <v>33000</v>
      </c>
      <c r="X5" s="45">
        <f>'IDAHO POWER'!C84</f>
        <v>31500</v>
      </c>
      <c r="Y5" s="106" t="s">
        <v>57</v>
      </c>
      <c r="Z5" s="45">
        <v>0</v>
      </c>
      <c r="AA5" s="45">
        <v>0</v>
      </c>
    </row>
    <row r="6" spans="1:27" ht="24.6" customHeight="1" x14ac:dyDescent="0.2">
      <c r="A6" s="48" t="s">
        <v>59</v>
      </c>
      <c r="B6" s="282" t="e">
        <f t="shared" ref="B6:J6" si="0">SUM(B4:B5)</f>
        <v>#REF!</v>
      </c>
      <c r="C6" s="45" t="e">
        <f t="shared" si="0"/>
        <v>#REF!</v>
      </c>
      <c r="D6" s="45" t="e">
        <f t="shared" si="0"/>
        <v>#REF!</v>
      </c>
      <c r="E6" s="283" t="e">
        <f t="shared" si="0"/>
        <v>#REF!</v>
      </c>
      <c r="F6" s="45">
        <f t="shared" si="0"/>
        <v>101125</v>
      </c>
      <c r="G6" s="45">
        <f t="shared" si="0"/>
        <v>139281.80054778</v>
      </c>
      <c r="H6" s="45">
        <f>SUM(H4:H5)</f>
        <v>139281.80054778</v>
      </c>
      <c r="I6" s="283">
        <f t="shared" si="0"/>
        <v>10000</v>
      </c>
      <c r="J6" s="45">
        <f t="shared" si="0"/>
        <v>101125</v>
      </c>
      <c r="K6" s="45">
        <f>SUM(K4:K5)</f>
        <v>163734.51964355999</v>
      </c>
      <c r="L6" s="45">
        <f>SUM(L4:L5)</f>
        <v>287500</v>
      </c>
      <c r="M6" s="281">
        <f>+SUM(M4:M5)</f>
        <v>10000</v>
      </c>
      <c r="N6" s="48" t="s">
        <v>59</v>
      </c>
      <c r="O6" s="282">
        <f t="shared" ref="O6:X6" si="1">SUM(O4:O5)</f>
        <v>39500</v>
      </c>
      <c r="P6" s="45">
        <f t="shared" si="1"/>
        <v>85426.118678999992</v>
      </c>
      <c r="Q6" s="45">
        <f>SUM(Q4:Q5)</f>
        <v>69000</v>
      </c>
      <c r="R6" s="281"/>
      <c r="S6" s="282">
        <f t="shared" si="1"/>
        <v>44500</v>
      </c>
      <c r="T6" s="45">
        <f t="shared" si="1"/>
        <v>85426.118678999992</v>
      </c>
      <c r="U6" s="45">
        <f>SUM(U4:U5)</f>
        <v>140000</v>
      </c>
      <c r="V6" s="116"/>
      <c r="W6" s="45">
        <f t="shared" si="1"/>
        <v>33000</v>
      </c>
      <c r="X6" s="45">
        <f t="shared" si="1"/>
        <v>63000</v>
      </c>
      <c r="Y6" s="106" t="s">
        <v>59</v>
      </c>
      <c r="Z6" s="45">
        <f>SUM(Z4:Z5)</f>
        <v>0</v>
      </c>
      <c r="AA6" s="45">
        <f>SUM(AA4:AA5)</f>
        <v>0</v>
      </c>
    </row>
    <row r="7" spans="1:27" ht="24.6" customHeight="1" x14ac:dyDescent="0.2">
      <c r="A7" s="122" t="s">
        <v>1000</v>
      </c>
      <c r="B7" s="282" t="e">
        <f>#REF!</f>
        <v>#REF!</v>
      </c>
      <c r="C7" s="45" t="e">
        <f>#REF!</f>
        <v>#REF!</v>
      </c>
      <c r="D7" s="45" t="e">
        <f>#REF!</f>
        <v>#REF!</v>
      </c>
      <c r="E7" s="283" t="e">
        <f>#REF!</f>
        <v>#REF!</v>
      </c>
      <c r="F7" s="45">
        <f>PACIFIC!E118</f>
        <v>101125</v>
      </c>
      <c r="G7" s="45">
        <f>PACIFIC!E122</f>
        <v>13572.75</v>
      </c>
      <c r="H7" s="45">
        <f>PACIFIC!D138</f>
        <v>0</v>
      </c>
      <c r="I7" s="283">
        <f>PACIFIC!E138</f>
        <v>123840.17</v>
      </c>
      <c r="J7" s="45">
        <f>NWN!E115</f>
        <v>101125</v>
      </c>
      <c r="K7" s="45">
        <f>NWN!E120</f>
        <v>0</v>
      </c>
      <c r="L7" s="45">
        <f>NWN!E126</f>
        <v>209500</v>
      </c>
      <c r="M7" s="281"/>
      <c r="N7" s="122" t="s">
        <v>1000</v>
      </c>
      <c r="O7" s="282">
        <f>CASCADE!E3795</f>
        <v>0</v>
      </c>
      <c r="P7" s="45">
        <f>CASCADE!E102</f>
        <v>4008.0299999999997</v>
      </c>
      <c r="Q7" s="45">
        <f>CASCADE!E106</f>
        <v>6000</v>
      </c>
      <c r="R7" s="281"/>
      <c r="S7" s="282">
        <f>AVISTA!E108</f>
        <v>44500</v>
      </c>
      <c r="T7" s="45">
        <f>AVISTA!E112</f>
        <v>4480.1900000000005</v>
      </c>
      <c r="U7" s="45">
        <f>AVISTA!E120</f>
        <v>46628.32</v>
      </c>
      <c r="V7" s="116"/>
      <c r="W7" s="45">
        <f>'IDAHO POWER'!E95</f>
        <v>0</v>
      </c>
      <c r="X7" s="45">
        <f>'IDAHO POWER'!E101</f>
        <v>13507</v>
      </c>
      <c r="Y7" s="75" t="s">
        <v>707</v>
      </c>
      <c r="Z7" s="45">
        <f>'PACIFICORP MSP'!D140</f>
        <v>57500</v>
      </c>
      <c r="AA7" s="45">
        <v>0</v>
      </c>
    </row>
    <row r="8" spans="1:27" ht="24.6" customHeight="1" x14ac:dyDescent="0.2">
      <c r="A8" s="48" t="s">
        <v>61</v>
      </c>
      <c r="B8" s="282" t="e">
        <f>#REF!</f>
        <v>#REF!</v>
      </c>
      <c r="C8" s="45" t="e">
        <f>#REF!</f>
        <v>#REF!</v>
      </c>
      <c r="D8" s="45" t="e">
        <f>#REF!</f>
        <v>#REF!</v>
      </c>
      <c r="E8" s="283" t="e">
        <f>#REF!</f>
        <v>#REF!</v>
      </c>
      <c r="F8" s="45">
        <f>PACIFIC!G118</f>
        <v>0</v>
      </c>
      <c r="G8" s="45">
        <f>PACIFIC!G122</f>
        <v>94311.82</v>
      </c>
      <c r="H8" s="45">
        <f>SUM(PACIFIC!F138+(PACIFIC!C109-PACIFIC!C111))</f>
        <v>0</v>
      </c>
      <c r="I8" s="283">
        <f>SUM(PACIFIC!G138+(PACIFIC!D109-PACIFIC!D111))</f>
        <v>3.637978807091713E-12</v>
      </c>
      <c r="J8" s="45">
        <f>NWN!F115</f>
        <v>0</v>
      </c>
      <c r="K8" s="45">
        <f>NWN!F120</f>
        <v>0</v>
      </c>
      <c r="L8" s="45">
        <f>SUM(NWN!F126+(NWN!D106-NWN!D108))</f>
        <v>0</v>
      </c>
      <c r="M8" s="281"/>
      <c r="N8" s="48" t="s">
        <v>61</v>
      </c>
      <c r="O8" s="282">
        <f>CASCADE!F97</f>
        <v>0</v>
      </c>
      <c r="P8" s="45">
        <f>CASCADE!F106</f>
        <v>0</v>
      </c>
      <c r="Q8" s="45">
        <f>SUM(CASCADE!F106+(CASCADE!D88-CASCADE!D90))</f>
        <v>0</v>
      </c>
      <c r="R8" s="281"/>
      <c r="S8" s="282">
        <f>AVISTA!F108</f>
        <v>0</v>
      </c>
      <c r="T8" s="45">
        <f>AVISTA!F112</f>
        <v>0</v>
      </c>
      <c r="U8" s="45">
        <f>SUM(AVISTA!F120+(AVISTA!D99-AVISTA!D101))</f>
        <v>3937.4600000000064</v>
      </c>
      <c r="V8" s="116"/>
      <c r="W8" s="45">
        <f>'IDAHO POWER'!F94</f>
        <v>0</v>
      </c>
      <c r="X8" s="45">
        <f>SUM('IDAHO POWER'!F101+('IDAHO POWER'!C85-'IDAHO POWER'!C87))</f>
        <v>0</v>
      </c>
      <c r="Y8" s="106" t="s">
        <v>61</v>
      </c>
      <c r="Z8" s="45">
        <v>0</v>
      </c>
      <c r="AA8" s="45">
        <f>'PACIFICORP MSP'!E145</f>
        <v>0</v>
      </c>
    </row>
    <row r="9" spans="1:27" ht="36.75" customHeight="1" thickBot="1" x14ac:dyDescent="0.25">
      <c r="A9" s="77" t="s">
        <v>60</v>
      </c>
      <c r="B9" s="284" t="e">
        <f>#REF!</f>
        <v>#REF!</v>
      </c>
      <c r="C9" s="285" t="e">
        <f>#REF!</f>
        <v>#REF!</v>
      </c>
      <c r="D9" s="285" t="e">
        <f>#REF!</f>
        <v>#REF!</v>
      </c>
      <c r="E9" s="286" t="e">
        <f>#REF!</f>
        <v>#REF!</v>
      </c>
      <c r="F9" s="285">
        <f>PACIFIC!B114</f>
        <v>0</v>
      </c>
      <c r="G9" s="285">
        <f>PACIFIC!C114</f>
        <v>31397.230547779996</v>
      </c>
      <c r="H9" s="285">
        <f>PACIFIC!C114</f>
        <v>31397.230547779996</v>
      </c>
      <c r="I9" s="286">
        <f>PACIFIC!D114</f>
        <v>21422.009999999962</v>
      </c>
      <c r="J9" s="285">
        <f>NWN!B111</f>
        <v>0</v>
      </c>
      <c r="K9" s="285">
        <f>NWN!C111</f>
        <v>109485.83964356</v>
      </c>
      <c r="L9" s="285">
        <f>NWN!D111</f>
        <v>78000</v>
      </c>
      <c r="M9" s="344"/>
      <c r="N9" s="77" t="s">
        <v>60</v>
      </c>
      <c r="O9" s="284">
        <f>CASCADE!B93</f>
        <v>0</v>
      </c>
      <c r="P9" s="285">
        <f>CASCADE!C93</f>
        <v>81418.088678999993</v>
      </c>
      <c r="Q9" s="285">
        <f>CASCADE!D93</f>
        <v>63000</v>
      </c>
      <c r="R9" s="344"/>
      <c r="S9" s="284">
        <f>AVISTA!B104</f>
        <v>0</v>
      </c>
      <c r="T9" s="285">
        <f>AVISTA!C104</f>
        <v>80945.92867899999</v>
      </c>
      <c r="U9" s="345">
        <f>AVISTA!D104</f>
        <v>89434.219999999972</v>
      </c>
      <c r="V9" s="117"/>
      <c r="W9" s="76">
        <f>'IDAHO POWER'!B90</f>
        <v>0</v>
      </c>
      <c r="X9" s="76">
        <f>'IDAHO POWER'!C90</f>
        <v>49493</v>
      </c>
      <c r="Y9" s="107" t="s">
        <v>60</v>
      </c>
      <c r="Z9" s="76">
        <f>'PACIFICORP MSP'!B134</f>
        <v>0</v>
      </c>
      <c r="AA9" s="76">
        <v>0</v>
      </c>
    </row>
    <row r="10" spans="1:27" ht="13.5" thickBot="1" x14ac:dyDescent="0.25">
      <c r="C10" s="45"/>
      <c r="D10" s="45"/>
      <c r="E10" s="45"/>
    </row>
    <row r="11" spans="1:27" ht="6" customHeight="1" thickTop="1" thickBot="1" x14ac:dyDescent="0.25">
      <c r="A11" s="65"/>
      <c r="B11" s="65"/>
      <c r="C11" s="65"/>
      <c r="D11" s="65"/>
      <c r="E11" s="65"/>
      <c r="F11" s="65"/>
      <c r="G11" s="65"/>
      <c r="H11" s="65"/>
      <c r="I11" s="65"/>
      <c r="J11" s="65"/>
      <c r="K11" s="65"/>
      <c r="L11" s="65"/>
      <c r="M11" s="65"/>
      <c r="N11" s="78"/>
      <c r="O11" s="78"/>
      <c r="P11" s="78"/>
      <c r="Q11" s="78"/>
      <c r="R11" s="78"/>
      <c r="S11" s="78"/>
      <c r="T11" s="78"/>
      <c r="U11" s="78"/>
      <c r="V11" s="78"/>
      <c r="W11" s="65"/>
      <c r="X11" s="65"/>
      <c r="Y11" s="108"/>
      <c r="Z11" s="109"/>
      <c r="AA11" s="110"/>
    </row>
    <row r="12" spans="1:27" ht="14.25" customHeight="1" thickTop="1" x14ac:dyDescent="0.2">
      <c r="A12" s="534" t="s">
        <v>857</v>
      </c>
      <c r="B12" s="535"/>
      <c r="C12" s="535"/>
      <c r="D12" s="535"/>
      <c r="E12" s="535"/>
      <c r="F12" s="535"/>
      <c r="G12" s="535"/>
      <c r="H12" s="535"/>
      <c r="I12" s="535"/>
      <c r="J12" s="535"/>
      <c r="K12" s="535"/>
      <c r="L12" s="535"/>
      <c r="M12" s="547"/>
      <c r="N12" s="534" t="s">
        <v>857</v>
      </c>
      <c r="O12" s="535"/>
      <c r="P12" s="535"/>
      <c r="Q12" s="535"/>
      <c r="R12" s="535"/>
      <c r="S12" s="535"/>
      <c r="T12" s="535"/>
      <c r="U12" s="535"/>
      <c r="V12" s="535"/>
      <c r="W12" s="78"/>
      <c r="X12" s="94"/>
      <c r="Y12" s="120"/>
      <c r="Z12" s="111"/>
      <c r="AA12" s="112"/>
    </row>
    <row r="13" spans="1:27" ht="13.5" thickBot="1" x14ac:dyDescent="0.25">
      <c r="A13" s="536" t="s">
        <v>858</v>
      </c>
      <c r="B13" s="537"/>
      <c r="C13" s="537"/>
      <c r="D13" s="537"/>
      <c r="E13" s="537"/>
      <c r="F13" s="537"/>
      <c r="G13" s="537"/>
      <c r="H13" s="537"/>
      <c r="I13" s="537"/>
      <c r="J13" s="537"/>
      <c r="K13" s="537"/>
      <c r="L13" s="537"/>
      <c r="M13" s="546"/>
      <c r="N13" s="536" t="s">
        <v>858</v>
      </c>
      <c r="O13" s="537"/>
      <c r="P13" s="537"/>
      <c r="Q13" s="537"/>
      <c r="R13" s="537"/>
      <c r="S13" s="537"/>
      <c r="T13" s="537"/>
      <c r="U13" s="537"/>
      <c r="V13" s="537"/>
      <c r="W13" s="95"/>
      <c r="X13" s="96"/>
      <c r="Y13" s="121"/>
      <c r="Z13" s="95"/>
      <c r="AA13" s="96"/>
    </row>
    <row r="14" spans="1:27" ht="13.5" thickTop="1" x14ac:dyDescent="0.2">
      <c r="A14" s="68"/>
      <c r="B14" s="531" t="s">
        <v>10</v>
      </c>
      <c r="C14" s="532"/>
      <c r="D14" s="532"/>
      <c r="E14" s="533"/>
      <c r="F14" s="531" t="s">
        <v>996</v>
      </c>
      <c r="G14" s="532"/>
      <c r="H14" s="532"/>
      <c r="I14" s="533"/>
      <c r="J14" s="532" t="s">
        <v>997</v>
      </c>
      <c r="K14" s="532"/>
      <c r="L14" s="532"/>
      <c r="M14" s="533"/>
      <c r="N14" s="538" t="s">
        <v>998</v>
      </c>
      <c r="O14" s="539"/>
      <c r="P14" s="540"/>
      <c r="Q14" s="341"/>
      <c r="Y14" s="113"/>
      <c r="Z14" s="78"/>
      <c r="AA14" s="114"/>
    </row>
    <row r="15" spans="1:27" ht="25.5" x14ac:dyDescent="0.2">
      <c r="A15" s="66"/>
      <c r="B15" s="68" t="s">
        <v>85</v>
      </c>
      <c r="C15" s="48" t="s">
        <v>86</v>
      </c>
      <c r="D15" s="48"/>
      <c r="E15" s="67" t="s">
        <v>87</v>
      </c>
      <c r="F15" s="68" t="s">
        <v>85</v>
      </c>
      <c r="G15" s="48" t="s">
        <v>86</v>
      </c>
      <c r="H15" s="48"/>
      <c r="I15" s="67" t="s">
        <v>87</v>
      </c>
      <c r="J15" s="48" t="s">
        <v>4</v>
      </c>
      <c r="K15" s="48" t="s">
        <v>86</v>
      </c>
      <c r="L15" s="48"/>
      <c r="M15" s="67" t="s">
        <v>87</v>
      </c>
      <c r="N15" s="66" t="s">
        <v>85</v>
      </c>
      <c r="O15" s="48" t="s">
        <v>86</v>
      </c>
      <c r="P15" s="67" t="s">
        <v>97</v>
      </c>
      <c r="Q15" s="48"/>
      <c r="Y15" s="84"/>
      <c r="Z15" s="115"/>
      <c r="AA15" s="224"/>
    </row>
    <row r="16" spans="1:27" x14ac:dyDescent="0.2">
      <c r="A16" s="68"/>
      <c r="B16" s="119"/>
      <c r="C16" s="45"/>
      <c r="D16" s="45"/>
      <c r="E16" s="69"/>
      <c r="F16" s="119"/>
      <c r="G16" s="45"/>
      <c r="H16" s="45"/>
      <c r="I16" s="69"/>
      <c r="K16" s="45"/>
      <c r="L16" s="45"/>
      <c r="M16" s="69"/>
      <c r="N16" s="119"/>
      <c r="O16" s="97"/>
      <c r="P16" s="75"/>
      <c r="Q16" s="75"/>
      <c r="Y16" s="68"/>
      <c r="Z16" s="40"/>
      <c r="AA16" s="40"/>
    </row>
    <row r="17" spans="1:27" x14ac:dyDescent="0.2">
      <c r="A17" s="68"/>
      <c r="B17" s="119"/>
      <c r="C17" s="45"/>
      <c r="D17" s="45"/>
      <c r="E17" s="69"/>
      <c r="F17" s="119"/>
      <c r="G17" s="45"/>
      <c r="H17" s="45"/>
      <c r="I17" s="69"/>
      <c r="J17" s="122"/>
      <c r="K17" s="45"/>
      <c r="L17" s="45"/>
      <c r="M17" s="69"/>
      <c r="N17" s="119"/>
      <c r="O17" s="45"/>
      <c r="P17" s="69"/>
      <c r="Q17" s="45"/>
      <c r="Y17" s="68"/>
      <c r="AA17" s="116"/>
    </row>
    <row r="18" spans="1:27" x14ac:dyDescent="0.2">
      <c r="A18" s="68"/>
      <c r="B18" s="119"/>
      <c r="C18" s="45"/>
      <c r="D18" s="45"/>
      <c r="E18" s="69"/>
      <c r="F18" s="119"/>
      <c r="G18" s="75"/>
      <c r="H18" s="75"/>
      <c r="I18" s="204"/>
      <c r="K18" s="45"/>
      <c r="L18" s="45"/>
      <c r="M18" s="69"/>
      <c r="N18" s="119"/>
      <c r="O18" s="45"/>
      <c r="P18" s="69"/>
      <c r="Q18" s="45"/>
      <c r="Y18" s="68"/>
      <c r="AA18" s="116"/>
    </row>
    <row r="19" spans="1:27" x14ac:dyDescent="0.2">
      <c r="A19" s="68"/>
      <c r="B19" s="119"/>
      <c r="C19" s="45"/>
      <c r="D19" s="45"/>
      <c r="E19" s="69"/>
      <c r="F19" s="119"/>
      <c r="G19" s="45"/>
      <c r="H19" s="45"/>
      <c r="I19" s="69"/>
      <c r="K19" s="45"/>
      <c r="L19" s="45"/>
      <c r="M19" s="69"/>
      <c r="N19" s="119"/>
      <c r="O19" s="45"/>
      <c r="P19" s="69"/>
      <c r="Q19" s="45"/>
      <c r="Y19" s="68"/>
      <c r="AA19" s="116"/>
    </row>
    <row r="20" spans="1:27" x14ac:dyDescent="0.2">
      <c r="A20" s="68"/>
      <c r="B20" s="119"/>
      <c r="C20" s="45"/>
      <c r="D20" s="45"/>
      <c r="E20" s="69"/>
      <c r="F20" s="119"/>
      <c r="G20" s="45"/>
      <c r="H20" s="45"/>
      <c r="I20" s="69"/>
      <c r="K20" s="45"/>
      <c r="L20" s="45"/>
      <c r="M20" s="69"/>
      <c r="N20" s="119"/>
      <c r="O20" s="45"/>
      <c r="P20" s="69"/>
      <c r="Q20" s="45"/>
      <c r="Y20" s="68"/>
      <c r="AA20" s="116"/>
    </row>
    <row r="21" spans="1:27" x14ac:dyDescent="0.2">
      <c r="A21" s="68"/>
      <c r="B21" s="119"/>
      <c r="C21" s="45"/>
      <c r="D21" s="45"/>
      <c r="E21" s="69"/>
      <c r="F21" s="119"/>
      <c r="G21" s="45"/>
      <c r="H21" s="45"/>
      <c r="I21" s="69"/>
      <c r="K21" s="45"/>
      <c r="L21" s="45"/>
      <c r="M21" s="69"/>
      <c r="N21" s="68"/>
      <c r="O21" s="45"/>
      <c r="P21" s="69"/>
      <c r="Q21" s="45"/>
      <c r="Y21" s="68"/>
      <c r="AA21" s="116"/>
    </row>
    <row r="22" spans="1:27" x14ac:dyDescent="0.2">
      <c r="A22" s="68"/>
      <c r="B22" s="119"/>
      <c r="C22" s="45"/>
      <c r="D22" s="45"/>
      <c r="E22" s="69"/>
      <c r="F22" s="119"/>
      <c r="G22" s="45"/>
      <c r="H22" s="45"/>
      <c r="I22" s="69"/>
      <c r="K22" s="45"/>
      <c r="L22" s="45"/>
      <c r="M22" s="69"/>
      <c r="N22" s="68"/>
      <c r="O22" s="45"/>
      <c r="P22" s="69"/>
      <c r="Q22" s="45"/>
      <c r="Y22" s="68"/>
      <c r="AA22" s="116"/>
    </row>
    <row r="23" spans="1:27" x14ac:dyDescent="0.2">
      <c r="A23" s="68"/>
      <c r="B23" s="119"/>
      <c r="C23" s="45"/>
      <c r="D23" s="45"/>
      <c r="E23" s="69"/>
      <c r="F23" s="119"/>
      <c r="G23" s="45"/>
      <c r="H23" s="45"/>
      <c r="I23" s="69"/>
      <c r="K23" s="45"/>
      <c r="L23" s="45"/>
      <c r="M23" s="69"/>
      <c r="N23" s="68"/>
      <c r="O23" s="45"/>
      <c r="P23" s="69"/>
      <c r="Q23" s="45"/>
      <c r="Y23" s="68"/>
      <c r="AA23" s="116"/>
    </row>
    <row r="24" spans="1:27" x14ac:dyDescent="0.2">
      <c r="A24" s="68"/>
      <c r="B24" s="119"/>
      <c r="C24" s="45"/>
      <c r="D24" s="45"/>
      <c r="E24" s="69"/>
      <c r="F24" s="84"/>
      <c r="G24" s="45"/>
      <c r="H24" s="45"/>
      <c r="I24" s="69"/>
      <c r="K24" s="45"/>
      <c r="L24" s="45"/>
      <c r="M24" s="69"/>
      <c r="N24" s="68"/>
      <c r="O24" s="45"/>
      <c r="P24" s="69"/>
      <c r="Q24" s="45"/>
      <c r="Y24" s="68"/>
      <c r="AA24" s="116"/>
    </row>
    <row r="25" spans="1:27" x14ac:dyDescent="0.2">
      <c r="A25" s="68"/>
      <c r="B25" s="119"/>
      <c r="C25" s="45"/>
      <c r="D25" s="45"/>
      <c r="E25" s="69"/>
      <c r="F25" s="84"/>
      <c r="G25" s="45"/>
      <c r="H25" s="45"/>
      <c r="I25" s="69"/>
      <c r="K25" s="45"/>
      <c r="L25" s="45"/>
      <c r="M25" s="69"/>
      <c r="N25" s="68"/>
      <c r="O25" s="45"/>
      <c r="P25" s="69"/>
      <c r="Q25" s="45"/>
      <c r="Y25" s="68"/>
      <c r="AA25" s="116"/>
    </row>
    <row r="26" spans="1:27" x14ac:dyDescent="0.2">
      <c r="A26" s="68"/>
      <c r="B26" s="119"/>
      <c r="C26" s="45"/>
      <c r="D26" s="45"/>
      <c r="E26" s="69"/>
      <c r="F26" s="84"/>
      <c r="G26" s="45"/>
      <c r="H26" s="45"/>
      <c r="I26" s="69"/>
      <c r="K26" s="45"/>
      <c r="L26" s="45"/>
      <c r="M26" s="69"/>
      <c r="N26" s="68"/>
      <c r="O26" s="45"/>
      <c r="P26" s="69"/>
      <c r="Q26" s="45"/>
      <c r="Y26" s="68"/>
      <c r="AA26" s="116"/>
    </row>
    <row r="27" spans="1:27" x14ac:dyDescent="0.2">
      <c r="A27" s="68"/>
      <c r="B27" s="119"/>
      <c r="C27" s="45"/>
      <c r="D27" s="45"/>
      <c r="E27" s="69"/>
      <c r="F27" s="84"/>
      <c r="G27" s="45"/>
      <c r="H27" s="45"/>
      <c r="I27" s="69"/>
      <c r="K27" s="45"/>
      <c r="L27" s="45"/>
      <c r="M27" s="69"/>
      <c r="N27" s="68"/>
      <c r="O27" s="45"/>
      <c r="P27" s="69"/>
      <c r="Q27" s="45"/>
      <c r="Y27" s="68"/>
      <c r="AA27" s="116"/>
    </row>
    <row r="28" spans="1:27" x14ac:dyDescent="0.2">
      <c r="A28" s="68"/>
      <c r="B28" s="119"/>
      <c r="C28" s="45"/>
      <c r="D28" s="45"/>
      <c r="E28" s="69"/>
      <c r="F28" s="84"/>
      <c r="G28" s="45"/>
      <c r="H28" s="45"/>
      <c r="I28" s="69"/>
      <c r="K28" s="45"/>
      <c r="L28" s="45"/>
      <c r="M28" s="69"/>
      <c r="N28" s="68"/>
      <c r="O28" s="45"/>
      <c r="P28" s="69"/>
      <c r="Q28" s="45"/>
      <c r="Y28" s="68"/>
      <c r="AA28" s="116"/>
    </row>
    <row r="29" spans="1:27" x14ac:dyDescent="0.2">
      <c r="A29" s="68"/>
      <c r="B29" s="119"/>
      <c r="C29" s="45"/>
      <c r="D29" s="45"/>
      <c r="E29" s="69"/>
      <c r="F29" s="84"/>
      <c r="G29" s="45"/>
      <c r="H29" s="45"/>
      <c r="I29" s="69"/>
      <c r="K29" s="45"/>
      <c r="L29" s="45"/>
      <c r="M29" s="69"/>
      <c r="N29" s="68"/>
      <c r="O29" s="45"/>
      <c r="P29" s="69"/>
      <c r="Q29" s="45"/>
      <c r="Y29" s="68"/>
      <c r="AA29" s="116"/>
    </row>
    <row r="30" spans="1:27" x14ac:dyDescent="0.2">
      <c r="A30" s="68"/>
      <c r="B30" s="119"/>
      <c r="C30" s="45"/>
      <c r="D30" s="45"/>
      <c r="E30" s="69"/>
      <c r="F30" s="84"/>
      <c r="G30" s="45"/>
      <c r="H30" s="45"/>
      <c r="I30" s="69"/>
      <c r="K30" s="45"/>
      <c r="L30" s="45"/>
      <c r="M30" s="69"/>
      <c r="N30" s="68"/>
      <c r="O30" s="45"/>
      <c r="P30" s="69"/>
      <c r="Q30" s="45"/>
      <c r="Y30" s="68"/>
      <c r="AA30" s="116"/>
    </row>
    <row r="31" spans="1:27" x14ac:dyDescent="0.2">
      <c r="A31" s="68"/>
      <c r="B31" s="119"/>
      <c r="C31" s="45"/>
      <c r="D31" s="45"/>
      <c r="E31" s="69"/>
      <c r="F31" s="84"/>
      <c r="G31" s="45"/>
      <c r="H31" s="45"/>
      <c r="I31" s="69"/>
      <c r="K31" s="45"/>
      <c r="L31" s="45"/>
      <c r="M31" s="69"/>
      <c r="N31" s="68"/>
      <c r="O31" s="45"/>
      <c r="P31" s="69"/>
      <c r="Q31" s="45"/>
      <c r="Y31" s="68"/>
      <c r="AA31" s="116"/>
    </row>
    <row r="32" spans="1:27" x14ac:dyDescent="0.2">
      <c r="A32" s="68"/>
      <c r="B32" s="119"/>
      <c r="C32" s="45"/>
      <c r="D32" s="45"/>
      <c r="E32" s="69"/>
      <c r="F32" s="84"/>
      <c r="G32" s="45"/>
      <c r="H32" s="45"/>
      <c r="I32" s="69"/>
      <c r="K32" s="45"/>
      <c r="L32" s="45"/>
      <c r="M32" s="69"/>
      <c r="N32" s="68"/>
      <c r="O32" s="45"/>
      <c r="P32" s="69"/>
      <c r="Q32" s="45"/>
      <c r="Y32" s="68"/>
      <c r="AA32" s="116"/>
    </row>
    <row r="33" spans="1:27" x14ac:dyDescent="0.2">
      <c r="A33" s="68"/>
      <c r="B33" s="119"/>
      <c r="C33" s="45"/>
      <c r="D33" s="45"/>
      <c r="E33" s="69"/>
      <c r="F33" s="84"/>
      <c r="G33" s="45"/>
      <c r="H33" s="45"/>
      <c r="I33" s="69"/>
      <c r="K33" s="45"/>
      <c r="L33" s="45"/>
      <c r="M33" s="69"/>
      <c r="N33" s="68"/>
      <c r="O33" s="45"/>
      <c r="P33" s="69"/>
      <c r="Q33" s="45"/>
      <c r="Y33" s="68"/>
      <c r="AA33" s="116"/>
    </row>
    <row r="34" spans="1:27" x14ac:dyDescent="0.2">
      <c r="A34" s="68"/>
      <c r="B34" s="119"/>
      <c r="C34" s="45"/>
      <c r="D34" s="45"/>
      <c r="E34" s="69"/>
      <c r="F34" s="84"/>
      <c r="G34" s="45"/>
      <c r="H34" s="45"/>
      <c r="I34" s="69"/>
      <c r="K34" s="45"/>
      <c r="L34" s="45"/>
      <c r="M34" s="69"/>
      <c r="N34" s="68"/>
      <c r="O34" s="45"/>
      <c r="P34" s="69"/>
      <c r="Q34" s="45"/>
      <c r="Y34" s="68"/>
      <c r="AA34" s="116"/>
    </row>
    <row r="35" spans="1:27" x14ac:dyDescent="0.2">
      <c r="A35" s="68"/>
      <c r="B35" s="119"/>
      <c r="C35" s="45"/>
      <c r="D35" s="45"/>
      <c r="E35" s="69"/>
      <c r="F35" s="84"/>
      <c r="G35" s="45"/>
      <c r="H35" s="45"/>
      <c r="I35" s="69"/>
      <c r="K35" s="45"/>
      <c r="L35" s="45"/>
      <c r="M35" s="69"/>
      <c r="N35" s="68"/>
      <c r="O35" s="45"/>
      <c r="P35" s="69"/>
      <c r="Q35" s="45"/>
      <c r="Y35" s="68"/>
      <c r="AA35" s="116"/>
    </row>
    <row r="36" spans="1:27" x14ac:dyDescent="0.2">
      <c r="A36" s="70" t="s">
        <v>88</v>
      </c>
      <c r="B36" s="70"/>
      <c r="C36" s="72">
        <f>SUM(C16:C35)</f>
        <v>0</v>
      </c>
      <c r="D36" s="72"/>
      <c r="E36" s="73">
        <f>SUM(E16:E35)</f>
        <v>0</v>
      </c>
      <c r="F36" s="70"/>
      <c r="G36" s="72">
        <f>SUM(G16:G23)</f>
        <v>0</v>
      </c>
      <c r="H36" s="72"/>
      <c r="I36" s="73">
        <f>SUM(I16:I22)</f>
        <v>0</v>
      </c>
      <c r="J36" s="71"/>
      <c r="K36" s="72">
        <f>SUM(K16:K17)</f>
        <v>0</v>
      </c>
      <c r="L36" s="72"/>
      <c r="M36" s="73">
        <f>SUM(M16:M17)</f>
        <v>0</v>
      </c>
      <c r="N36" s="70"/>
      <c r="O36" s="72">
        <f>SUM(O16:O22)</f>
        <v>0</v>
      </c>
      <c r="P36" s="73">
        <f>SUM(P16:P22)</f>
        <v>0</v>
      </c>
      <c r="Q36" s="72"/>
      <c r="R36" s="71"/>
      <c r="S36" s="71"/>
      <c r="T36" s="71"/>
      <c r="U36" s="71"/>
      <c r="V36" s="71"/>
      <c r="W36" s="71"/>
      <c r="X36" s="71"/>
      <c r="Y36" s="70"/>
      <c r="Z36" s="71"/>
      <c r="AA36" s="117"/>
    </row>
    <row r="37" spans="1:27" x14ac:dyDescent="0.2">
      <c r="C37" s="45"/>
      <c r="D37" s="45"/>
      <c r="E37" s="45"/>
      <c r="G37" s="45"/>
      <c r="H37" s="45"/>
      <c r="I37" s="45"/>
      <c r="K37" s="45"/>
      <c r="L37" s="45"/>
      <c r="M37" s="45"/>
    </row>
    <row r="38" spans="1:27" x14ac:dyDescent="0.2">
      <c r="C38" s="45"/>
      <c r="D38" s="45"/>
      <c r="E38" s="45"/>
      <c r="G38" s="45"/>
      <c r="H38" s="45"/>
      <c r="I38" s="45"/>
      <c r="K38" s="45"/>
      <c r="L38" s="45"/>
      <c r="M38" s="45"/>
    </row>
    <row r="39" spans="1:27" x14ac:dyDescent="0.2">
      <c r="C39" s="45"/>
      <c r="D39" s="45"/>
      <c r="E39" s="45"/>
      <c r="G39" s="45"/>
      <c r="H39" s="45"/>
      <c r="I39" s="45"/>
      <c r="K39" s="45"/>
      <c r="L39" s="45"/>
      <c r="M39" s="45"/>
    </row>
    <row r="40" spans="1:27" x14ac:dyDescent="0.2">
      <c r="C40" s="45"/>
      <c r="D40" s="45"/>
      <c r="E40" s="45"/>
      <c r="G40" s="45"/>
      <c r="H40" s="45"/>
      <c r="I40" s="45"/>
      <c r="K40" s="45"/>
      <c r="L40" s="45"/>
      <c r="M40" s="45"/>
    </row>
    <row r="41" spans="1:27" x14ac:dyDescent="0.2">
      <c r="C41" s="45"/>
      <c r="D41" s="45"/>
      <c r="E41" s="45"/>
      <c r="G41" s="45"/>
      <c r="H41" s="45"/>
      <c r="I41" s="45"/>
      <c r="K41" s="45"/>
      <c r="L41" s="45"/>
      <c r="M41" s="45"/>
    </row>
    <row r="42" spans="1:27" x14ac:dyDescent="0.2">
      <c r="C42" s="45"/>
      <c r="D42" s="45"/>
      <c r="E42" s="45"/>
      <c r="G42" s="45"/>
      <c r="H42" s="45"/>
      <c r="I42" s="45"/>
      <c r="K42" s="45"/>
      <c r="L42" s="45"/>
      <c r="M42" s="45"/>
    </row>
    <row r="43" spans="1:27" x14ac:dyDescent="0.2">
      <c r="C43" s="45"/>
      <c r="D43" s="45"/>
      <c r="E43" s="45"/>
      <c r="G43" s="45"/>
      <c r="H43" s="45"/>
      <c r="I43" s="45"/>
      <c r="K43" s="45"/>
      <c r="L43" s="45"/>
      <c r="M43" s="45"/>
    </row>
    <row r="44" spans="1:27" x14ac:dyDescent="0.2">
      <c r="C44" s="45"/>
      <c r="D44" s="45"/>
      <c r="E44" s="45"/>
    </row>
    <row r="45" spans="1:27" x14ac:dyDescent="0.2">
      <c r="I45" s="45"/>
    </row>
  </sheetData>
  <mergeCells count="18">
    <mergeCell ref="J2:M2"/>
    <mergeCell ref="O2:R2"/>
    <mergeCell ref="Z2:AA2"/>
    <mergeCell ref="Y1:AA1"/>
    <mergeCell ref="A13:M13"/>
    <mergeCell ref="A12:M12"/>
    <mergeCell ref="W2:X2"/>
    <mergeCell ref="N1:X1"/>
    <mergeCell ref="S2:V2"/>
    <mergeCell ref="A1:M1"/>
    <mergeCell ref="B2:E2"/>
    <mergeCell ref="F2:I2"/>
    <mergeCell ref="B14:E14"/>
    <mergeCell ref="F14:I14"/>
    <mergeCell ref="J14:M14"/>
    <mergeCell ref="N12:V12"/>
    <mergeCell ref="N13:V13"/>
    <mergeCell ref="N14:P14"/>
  </mergeCells>
  <phoneticPr fontId="7" type="noConversion"/>
  <printOptions gridLines="1"/>
  <pageMargins left="0.75" right="0.75" top="1" bottom="1" header="0.5" footer="0.5"/>
  <pageSetup scale="85" fitToWidth="0" orientation="landscape" r:id="rId1"/>
  <headerFooter alignWithMargins="0">
    <oddFooter>&amp;CCurrent as of &amp;D</oddFooter>
  </headerFooter>
  <rowBreaks count="1" manualBreakCount="1">
    <brk id="10" max="21" man="1"/>
  </rowBreaks>
  <colBreaks count="2" manualBreakCount="2">
    <brk id="13" max="1048575" man="1"/>
    <brk id="24" max="24"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F12E-12FA-4597-BB6D-C3924CEBFFC4}">
  <dimension ref="A1:O354"/>
  <sheetViews>
    <sheetView showGridLines="0" tabSelected="1" zoomScaleNormal="100" zoomScaleSheetLayoutView="75" workbookViewId="0">
      <selection activeCell="G22" sqref="G22"/>
    </sheetView>
  </sheetViews>
  <sheetFormatPr defaultRowHeight="12.75" x14ac:dyDescent="0.2"/>
  <cols>
    <col min="1" max="1" width="22.28515625" bestFit="1" customWidth="1"/>
    <col min="2" max="2" width="19.28515625" bestFit="1" customWidth="1"/>
    <col min="3" max="3" width="17" customWidth="1"/>
    <col min="4" max="4" width="12.85546875" customWidth="1"/>
    <col min="5" max="5" width="18.140625" customWidth="1"/>
    <col min="6" max="6" width="13.28515625" customWidth="1"/>
    <col min="7" max="7" width="14.28515625" customWidth="1"/>
    <col min="8" max="8" width="17.5703125" customWidth="1"/>
    <col min="9" max="9" width="22.85546875" customWidth="1"/>
    <col min="10" max="10" width="31.140625" customWidth="1"/>
    <col min="11" max="11" width="23" customWidth="1"/>
  </cols>
  <sheetData>
    <row r="1" spans="1:10" ht="13.5" thickBot="1" x14ac:dyDescent="0.25"/>
    <row r="2" spans="1:10" ht="21" thickBot="1" x14ac:dyDescent="0.25">
      <c r="A2" s="550" t="s">
        <v>1244</v>
      </c>
      <c r="B2" s="551"/>
      <c r="C2" s="551"/>
      <c r="D2" s="551"/>
      <c r="E2" s="551"/>
      <c r="F2" s="551"/>
      <c r="G2" s="551"/>
      <c r="H2" s="551"/>
      <c r="I2" s="551"/>
      <c r="J2" s="552"/>
    </row>
    <row r="3" spans="1:10" ht="20.25" x14ac:dyDescent="0.3">
      <c r="A3" s="39"/>
      <c r="B3" s="13" t="s">
        <v>1245</v>
      </c>
      <c r="C3" s="13" t="s">
        <v>1246</v>
      </c>
      <c r="D3" s="13" t="s">
        <v>1247</v>
      </c>
      <c r="E3" s="13" t="s">
        <v>1248</v>
      </c>
      <c r="F3" s="14"/>
      <c r="G3" s="13"/>
      <c r="H3" s="13"/>
      <c r="I3" s="13" t="s">
        <v>1283</v>
      </c>
      <c r="J3" s="37"/>
    </row>
    <row r="4" spans="1:10" x14ac:dyDescent="0.2">
      <c r="A4" s="39" t="s">
        <v>57</v>
      </c>
      <c r="B4" s="205">
        <f>B41+(B41*0.03)</f>
        <v>123376.3046</v>
      </c>
      <c r="C4" s="205">
        <v>81868</v>
      </c>
      <c r="D4" s="205">
        <f>D41+(D41*0.03)</f>
        <v>175380.56170000002</v>
      </c>
      <c r="E4" s="205">
        <v>10000</v>
      </c>
      <c r="F4" s="146" t="s">
        <v>972</v>
      </c>
      <c r="G4" s="314"/>
      <c r="H4" s="314"/>
      <c r="I4" s="527">
        <v>100000</v>
      </c>
      <c r="J4" s="155" t="s">
        <v>973</v>
      </c>
    </row>
    <row r="5" spans="1:10" ht="20.25" x14ac:dyDescent="0.3">
      <c r="A5" s="39" t="s">
        <v>36</v>
      </c>
      <c r="B5" s="206">
        <f>IF(B46&gt;B4,B4,B46)</f>
        <v>0</v>
      </c>
      <c r="C5" s="206">
        <f>IF(OR(C46&gt;=C4,C46&lt;C4),C46,C4)</f>
        <v>110788.34999999998</v>
      </c>
      <c r="D5" s="206">
        <f>IF(OR(D46&gt;=D4,D46&lt;D4),D46,D4)</f>
        <v>28675.390000000014</v>
      </c>
      <c r="E5" s="206"/>
      <c r="F5" s="14"/>
      <c r="G5" s="13"/>
      <c r="H5" s="13"/>
      <c r="I5" s="525"/>
      <c r="J5" s="37"/>
    </row>
    <row r="6" spans="1:10" x14ac:dyDescent="0.2">
      <c r="A6" s="39" t="s">
        <v>992</v>
      </c>
      <c r="B6" s="88">
        <f>SUM(B4:B5)</f>
        <v>123376.3046</v>
      </c>
      <c r="C6" s="88">
        <f>SUM(C4:C5)</f>
        <v>192656.34999999998</v>
      </c>
      <c r="D6" s="88">
        <f>SUM(D4:D5)</f>
        <v>204055.95170000003</v>
      </c>
      <c r="E6" s="246">
        <v>10000</v>
      </c>
      <c r="F6" s="125" t="s">
        <v>107</v>
      </c>
      <c r="G6" s="13"/>
      <c r="H6" s="13"/>
      <c r="I6" s="525"/>
      <c r="J6" s="37"/>
    </row>
    <row r="7" spans="1:10" x14ac:dyDescent="0.2">
      <c r="A7" s="39" t="s">
        <v>47</v>
      </c>
      <c r="B7" s="88">
        <f>B47</f>
        <v>0</v>
      </c>
      <c r="C7" s="88">
        <f>IF(OR(C47&gt;=C4,C47&lt;C4),C47,C4)</f>
        <v>0</v>
      </c>
      <c r="D7" s="88">
        <f>IF(OR(D47&gt;=D4,D47&lt;D4),D47,D4)</f>
        <v>137.39000000001397</v>
      </c>
      <c r="E7" s="88"/>
      <c r="F7" s="302"/>
      <c r="G7" s="302"/>
      <c r="H7" s="13"/>
      <c r="I7" s="525"/>
      <c r="J7" s="37"/>
    </row>
    <row r="8" spans="1:10" x14ac:dyDescent="0.2">
      <c r="A8" s="39" t="s">
        <v>479</v>
      </c>
      <c r="B8" s="88">
        <f>B4+B7</f>
        <v>123376.3046</v>
      </c>
      <c r="C8" s="88">
        <f>C4+C7</f>
        <v>81868</v>
      </c>
      <c r="D8" s="88">
        <f>D4+D7</f>
        <v>175517.95170000003</v>
      </c>
      <c r="E8" s="88">
        <f>E4+E7</f>
        <v>10000</v>
      </c>
      <c r="F8" s="146" t="s">
        <v>108</v>
      </c>
      <c r="G8" s="13"/>
      <c r="H8" s="13"/>
      <c r="I8" s="525"/>
      <c r="J8" s="37"/>
    </row>
    <row r="9" spans="1:10" x14ac:dyDescent="0.2">
      <c r="A9" s="39" t="s">
        <v>39</v>
      </c>
      <c r="B9" s="88">
        <f>B6-E14</f>
        <v>4.6000000002095476E-3</v>
      </c>
      <c r="C9" s="88">
        <f>C6-E18</f>
        <v>161880.09999999998</v>
      </c>
      <c r="D9" s="88">
        <f>D6-E26</f>
        <v>169055.95170000003</v>
      </c>
      <c r="E9" s="246">
        <v>10000</v>
      </c>
      <c r="F9" s="146" t="s">
        <v>109</v>
      </c>
      <c r="G9" s="13"/>
      <c r="H9" s="13"/>
      <c r="I9" s="525">
        <f>I4-F37</f>
        <v>0</v>
      </c>
      <c r="J9" s="37"/>
    </row>
    <row r="10" spans="1:10" ht="13.5" thickBot="1" x14ac:dyDescent="0.25">
      <c r="A10" s="39" t="s">
        <v>132</v>
      </c>
      <c r="B10" s="89">
        <f>B8-E14-F14</f>
        <v>4.6000000002095476E-3</v>
      </c>
      <c r="C10" s="89">
        <f>C8-E18-F18</f>
        <v>51091.75</v>
      </c>
      <c r="D10" s="308">
        <f>D8-E26-F26</f>
        <v>1.7000000225380063E-3</v>
      </c>
      <c r="E10" s="308">
        <f>E8-E32-F32</f>
        <v>10000</v>
      </c>
      <c r="F10" s="146" t="s">
        <v>110</v>
      </c>
      <c r="G10" s="146"/>
      <c r="H10" s="146"/>
      <c r="I10" s="526"/>
      <c r="J10" s="146"/>
    </row>
    <row r="11" spans="1:10" ht="51" x14ac:dyDescent="0.2">
      <c r="A11" s="19" t="s">
        <v>41</v>
      </c>
      <c r="B11" s="20" t="s">
        <v>34</v>
      </c>
      <c r="C11" s="20" t="s">
        <v>64</v>
      </c>
      <c r="D11" s="20" t="s">
        <v>63</v>
      </c>
      <c r="E11" s="20" t="s">
        <v>37</v>
      </c>
      <c r="F11" s="20" t="s">
        <v>48</v>
      </c>
      <c r="G11" s="20" t="s">
        <v>40</v>
      </c>
      <c r="H11" s="20" t="s">
        <v>38</v>
      </c>
      <c r="I11" s="20"/>
      <c r="J11" s="21" t="s">
        <v>5</v>
      </c>
    </row>
    <row r="12" spans="1:10" x14ac:dyDescent="0.2">
      <c r="A12" s="22" t="s">
        <v>10</v>
      </c>
      <c r="B12" s="23"/>
      <c r="C12" s="57">
        <v>123376.3</v>
      </c>
      <c r="D12" s="50"/>
      <c r="E12" s="57">
        <v>123376.3</v>
      </c>
      <c r="F12" s="57"/>
      <c r="G12" s="485" t="s">
        <v>1242</v>
      </c>
      <c r="H12" s="23"/>
      <c r="I12" s="503"/>
      <c r="J12" s="24"/>
    </row>
    <row r="13" spans="1:10" x14ac:dyDescent="0.2">
      <c r="A13" s="128" t="s">
        <v>1277</v>
      </c>
      <c r="B13" s="101"/>
      <c r="C13" s="102"/>
      <c r="D13" s="262"/>
      <c r="E13" s="102"/>
      <c r="F13" s="102">
        <v>90000</v>
      </c>
      <c r="G13" s="501" t="s">
        <v>1278</v>
      </c>
      <c r="H13" s="101"/>
      <c r="I13" s="504"/>
      <c r="J13" s="133"/>
    </row>
    <row r="14" spans="1:10" x14ac:dyDescent="0.2">
      <c r="A14" s="25" t="s">
        <v>43</v>
      </c>
      <c r="B14" s="26"/>
      <c r="C14" s="60">
        <f>C12</f>
        <v>123376.3</v>
      </c>
      <c r="D14" s="26"/>
      <c r="E14" s="60">
        <f>E12</f>
        <v>123376.3</v>
      </c>
      <c r="F14" s="60">
        <f>F12</f>
        <v>0</v>
      </c>
      <c r="G14" s="26"/>
      <c r="H14" s="26"/>
      <c r="I14" s="505"/>
      <c r="J14" s="27"/>
    </row>
    <row r="15" spans="1:10" x14ac:dyDescent="0.2">
      <c r="A15" s="33"/>
      <c r="B15" s="33"/>
      <c r="C15" s="59"/>
      <c r="D15" s="33"/>
      <c r="E15" s="59"/>
      <c r="F15" s="59"/>
      <c r="G15" s="33"/>
      <c r="H15" s="33"/>
      <c r="I15" s="33"/>
      <c r="J15" s="33"/>
    </row>
    <row r="16" spans="1:10" x14ac:dyDescent="0.2">
      <c r="A16" s="25" t="s">
        <v>44</v>
      </c>
      <c r="B16" s="26"/>
      <c r="C16" s="58"/>
      <c r="D16" s="55"/>
      <c r="E16" s="58">
        <v>30776.25</v>
      </c>
      <c r="F16" s="58"/>
      <c r="G16" s="486" t="s">
        <v>1254</v>
      </c>
      <c r="H16" s="26"/>
      <c r="I16" s="505"/>
      <c r="J16" s="43"/>
    </row>
    <row r="17" spans="1:10" x14ac:dyDescent="0.2">
      <c r="A17" s="25"/>
      <c r="B17" s="26"/>
      <c r="C17" s="261"/>
      <c r="D17" s="55"/>
      <c r="E17" s="261"/>
      <c r="F17" s="58"/>
      <c r="G17" s="51"/>
      <c r="H17" s="26"/>
      <c r="I17" s="505"/>
      <c r="J17" s="43"/>
    </row>
    <row r="18" spans="1:10" x14ac:dyDescent="0.2">
      <c r="A18" s="25" t="s">
        <v>43</v>
      </c>
      <c r="B18" s="26"/>
      <c r="C18" s="60">
        <f>C16+C17</f>
        <v>0</v>
      </c>
      <c r="D18" s="26"/>
      <c r="E18" s="60">
        <f>E16+E17</f>
        <v>30776.25</v>
      </c>
      <c r="F18" s="60">
        <f>SUM(F16:F17)</f>
        <v>0</v>
      </c>
      <c r="G18" s="26"/>
      <c r="H18" s="26"/>
      <c r="I18" s="505"/>
      <c r="J18" s="27"/>
    </row>
    <row r="19" spans="1:10" x14ac:dyDescent="0.2">
      <c r="A19" s="33"/>
      <c r="B19" s="33"/>
      <c r="C19" s="59"/>
      <c r="D19" s="33"/>
      <c r="E19" s="59"/>
      <c r="F19" s="59"/>
      <c r="G19" s="469"/>
      <c r="H19" s="469"/>
      <c r="I19" s="469"/>
      <c r="J19" s="33"/>
    </row>
    <row r="20" spans="1:10" x14ac:dyDescent="0.2">
      <c r="A20" s="25" t="s">
        <v>42</v>
      </c>
      <c r="B20" s="26" t="s">
        <v>532</v>
      </c>
      <c r="C20" s="58">
        <v>20000</v>
      </c>
      <c r="D20" s="468" t="s">
        <v>1262</v>
      </c>
      <c r="E20" s="58"/>
      <c r="F20" s="151">
        <v>20000</v>
      </c>
      <c r="G20" s="253"/>
      <c r="H20" s="26" t="s">
        <v>688</v>
      </c>
      <c r="I20" s="232"/>
      <c r="J20" s="152"/>
    </row>
    <row r="21" spans="1:10" x14ac:dyDescent="0.2">
      <c r="A21" s="150"/>
      <c r="B21" s="256" t="s">
        <v>532</v>
      </c>
      <c r="C21" s="476">
        <v>32758.5</v>
      </c>
      <c r="D21" s="495" t="s">
        <v>1268</v>
      </c>
      <c r="E21" s="476"/>
      <c r="F21" s="476">
        <v>32758.5</v>
      </c>
      <c r="G21" s="464"/>
      <c r="H21" s="145" t="s">
        <v>1267</v>
      </c>
      <c r="I21" s="506"/>
      <c r="J21" s="144"/>
    </row>
    <row r="22" spans="1:10" x14ac:dyDescent="0.2">
      <c r="A22" s="472"/>
      <c r="B22" s="135" t="s">
        <v>532</v>
      </c>
      <c r="C22" s="490">
        <v>35000</v>
      </c>
      <c r="D22" s="468" t="s">
        <v>1263</v>
      </c>
      <c r="E22" s="143">
        <v>35000</v>
      </c>
      <c r="F22" s="143"/>
      <c r="G22" s="468" t="s">
        <v>1287</v>
      </c>
      <c r="H22" s="135" t="s">
        <v>1258</v>
      </c>
      <c r="I22" s="507"/>
      <c r="J22" s="144"/>
    </row>
    <row r="23" spans="1:10" x14ac:dyDescent="0.2">
      <c r="A23" s="472"/>
      <c r="B23" s="256"/>
      <c r="C23" s="476">
        <v>54000</v>
      </c>
      <c r="D23" s="496" t="s">
        <v>1272</v>
      </c>
      <c r="E23" s="476"/>
      <c r="F23" s="476">
        <v>54000</v>
      </c>
      <c r="G23" s="258"/>
      <c r="H23" s="203" t="s">
        <v>1273</v>
      </c>
      <c r="I23" s="203"/>
      <c r="J23" s="144"/>
    </row>
    <row r="24" spans="1:10" x14ac:dyDescent="0.2">
      <c r="A24" s="472"/>
      <c r="B24" s="421" t="s">
        <v>10</v>
      </c>
      <c r="C24" s="483">
        <v>33000</v>
      </c>
      <c r="D24" s="497" t="s">
        <v>1274</v>
      </c>
      <c r="E24" s="483"/>
      <c r="F24" s="483">
        <v>33000</v>
      </c>
      <c r="G24" s="423"/>
      <c r="H24" s="421" t="s">
        <v>1267</v>
      </c>
      <c r="I24" s="274"/>
      <c r="J24" s="144"/>
    </row>
    <row r="25" spans="1:10" x14ac:dyDescent="0.2">
      <c r="A25" s="482"/>
      <c r="B25" s="431" t="s">
        <v>10</v>
      </c>
      <c r="C25" s="481">
        <v>759.45</v>
      </c>
      <c r="D25" s="501" t="s">
        <v>1278</v>
      </c>
      <c r="E25" s="481"/>
      <c r="F25" s="481">
        <v>759.45</v>
      </c>
      <c r="G25" s="428"/>
      <c r="H25" s="427"/>
      <c r="I25" s="274"/>
      <c r="J25" s="154"/>
    </row>
    <row r="26" spans="1:10" ht="13.5" thickBot="1" x14ac:dyDescent="0.25">
      <c r="A26" s="424" t="s">
        <v>43</v>
      </c>
      <c r="B26" s="425"/>
      <c r="C26" s="426">
        <f>SUM(C20:C25)</f>
        <v>175517.95</v>
      </c>
      <c r="D26" s="425"/>
      <c r="E26" s="426">
        <f>SUM(E19:E25)</f>
        <v>35000</v>
      </c>
      <c r="F26" s="426">
        <f>SUM(F20:F25)</f>
        <v>140517.95000000001</v>
      </c>
      <c r="G26" s="425"/>
      <c r="H26" s="425"/>
      <c r="I26" s="508"/>
      <c r="J26" s="30"/>
    </row>
    <row r="27" spans="1:10" x14ac:dyDescent="0.2">
      <c r="A27" s="498"/>
      <c r="B27" s="499"/>
      <c r="C27" s="500"/>
      <c r="D27" s="499"/>
      <c r="E27" s="500"/>
      <c r="F27" s="500"/>
      <c r="G27" s="499"/>
      <c r="H27" s="499"/>
      <c r="I27" s="509"/>
      <c r="J27" s="92"/>
    </row>
    <row r="28" spans="1:10" x14ac:dyDescent="0.2">
      <c r="A28" s="319"/>
      <c r="B28" s="304"/>
      <c r="C28" s="320"/>
      <c r="D28" s="305"/>
      <c r="E28" s="320"/>
      <c r="F28" s="320"/>
      <c r="G28" s="304"/>
      <c r="H28" s="304"/>
      <c r="I28" s="510"/>
      <c r="J28" s="307"/>
    </row>
    <row r="29" spans="1:10" x14ac:dyDescent="0.2">
      <c r="A29" s="150" t="s">
        <v>968</v>
      </c>
      <c r="B29" s="145"/>
      <c r="C29" s="151"/>
      <c r="D29" s="53"/>
      <c r="E29" s="151"/>
      <c r="F29" s="151"/>
      <c r="G29" s="145"/>
      <c r="H29" s="145"/>
      <c r="I29" s="506"/>
      <c r="J29" s="144"/>
    </row>
    <row r="30" spans="1:10" x14ac:dyDescent="0.2">
      <c r="A30" s="150"/>
      <c r="B30" s="145"/>
      <c r="C30" s="151"/>
      <c r="D30" s="53"/>
      <c r="E30" s="151"/>
      <c r="F30" s="151"/>
      <c r="G30" s="145"/>
      <c r="H30" s="145"/>
      <c r="I30" s="506"/>
      <c r="J30" s="144"/>
    </row>
    <row r="31" spans="1:10" x14ac:dyDescent="0.2">
      <c r="A31" s="150"/>
      <c r="B31" s="145"/>
      <c r="C31" s="151"/>
      <c r="D31" s="53"/>
      <c r="E31" s="151"/>
      <c r="F31" s="151"/>
      <c r="G31" s="145"/>
      <c r="H31" s="145"/>
      <c r="I31" s="506"/>
      <c r="J31" s="144"/>
    </row>
    <row r="32" spans="1:10" ht="13.5" thickBot="1" x14ac:dyDescent="0.25">
      <c r="A32" s="28" t="s">
        <v>43</v>
      </c>
      <c r="B32" s="29"/>
      <c r="C32" s="56">
        <f>SUM(C30:C31)</f>
        <v>0</v>
      </c>
      <c r="D32" s="29"/>
      <c r="E32" s="56">
        <f>SUM(E30:E31)</f>
        <v>0</v>
      </c>
      <c r="F32" s="56">
        <f>SUM(F30:F31)</f>
        <v>0</v>
      </c>
      <c r="G32" s="29"/>
      <c r="H32" s="29"/>
      <c r="I32" s="511"/>
      <c r="J32" s="30"/>
    </row>
    <row r="33" spans="1:10" x14ac:dyDescent="0.2">
      <c r="A33" s="319"/>
      <c r="B33" s="304"/>
      <c r="C33" s="320"/>
      <c r="D33" s="305"/>
      <c r="E33" s="320"/>
      <c r="F33" s="320"/>
      <c r="G33" s="304"/>
      <c r="H33" s="304"/>
      <c r="I33" s="510"/>
      <c r="J33" s="307"/>
    </row>
    <row r="34" spans="1:10" x14ac:dyDescent="0.2">
      <c r="A34" s="150" t="s">
        <v>1284</v>
      </c>
      <c r="B34" s="145"/>
      <c r="C34" s="151">
        <v>89240.55</v>
      </c>
      <c r="D34" s="501" t="s">
        <v>1278</v>
      </c>
      <c r="E34" s="151"/>
      <c r="F34" s="151">
        <v>89240.55</v>
      </c>
      <c r="G34" s="145"/>
      <c r="H34" s="145"/>
      <c r="I34" s="506"/>
      <c r="J34" s="144"/>
    </row>
    <row r="35" spans="1:10" x14ac:dyDescent="0.2">
      <c r="A35" s="150"/>
      <c r="B35" s="145"/>
      <c r="C35" s="151">
        <v>10759.45</v>
      </c>
      <c r="D35" s="466" t="s">
        <v>1285</v>
      </c>
      <c r="E35" s="151"/>
      <c r="F35" s="151">
        <v>10759.45</v>
      </c>
      <c r="G35" s="145"/>
      <c r="H35" s="145"/>
      <c r="I35" s="506"/>
      <c r="J35" s="144"/>
    </row>
    <row r="36" spans="1:10" x14ac:dyDescent="0.2">
      <c r="A36" s="150"/>
      <c r="B36" s="145"/>
      <c r="C36" s="151"/>
      <c r="D36" s="53"/>
      <c r="E36" s="151"/>
      <c r="F36" s="151"/>
      <c r="G36" s="145"/>
      <c r="H36" s="145"/>
      <c r="I36" s="506"/>
      <c r="J36" s="144"/>
    </row>
    <row r="37" spans="1:10" ht="13.5" thickBot="1" x14ac:dyDescent="0.25">
      <c r="A37" s="28" t="s">
        <v>43</v>
      </c>
      <c r="B37" s="29"/>
      <c r="C37" s="56">
        <f>SUM(C34:C36)</f>
        <v>100000</v>
      </c>
      <c r="D37" s="29"/>
      <c r="E37" s="56">
        <f>SUM(E34:E36)</f>
        <v>0</v>
      </c>
      <c r="F37" s="56">
        <f>SUM(F34:F36)</f>
        <v>100000</v>
      </c>
      <c r="G37" s="29"/>
      <c r="H37" s="29"/>
      <c r="I37" s="511"/>
      <c r="J37" s="30"/>
    </row>
    <row r="38" spans="1:10" ht="13.5" thickBot="1" x14ac:dyDescent="0.25"/>
    <row r="39" spans="1:10" ht="21" thickBot="1" x14ac:dyDescent="0.25">
      <c r="A39" s="550" t="s">
        <v>1137</v>
      </c>
      <c r="B39" s="551"/>
      <c r="C39" s="551"/>
      <c r="D39" s="551"/>
      <c r="E39" s="551"/>
      <c r="F39" s="551"/>
      <c r="G39" s="551"/>
      <c r="H39" s="551"/>
      <c r="I39" s="551"/>
      <c r="J39" s="552"/>
    </row>
    <row r="40" spans="1:10" ht="20.25" x14ac:dyDescent="0.3">
      <c r="A40" s="39"/>
      <c r="B40" s="13" t="s">
        <v>1138</v>
      </c>
      <c r="C40" s="13" t="s">
        <v>1139</v>
      </c>
      <c r="D40" s="13" t="s">
        <v>1140</v>
      </c>
      <c r="E40" s="13" t="s">
        <v>1141</v>
      </c>
      <c r="F40" s="14"/>
      <c r="G40" s="13"/>
      <c r="H40" s="13"/>
      <c r="I40" s="13"/>
      <c r="J40" s="37"/>
    </row>
    <row r="41" spans="1:10" x14ac:dyDescent="0.2">
      <c r="A41" s="39" t="s">
        <v>57</v>
      </c>
      <c r="B41" s="205">
        <f>B71+(B71*0.03)</f>
        <v>119782.82</v>
      </c>
      <c r="C41" s="205">
        <v>81868</v>
      </c>
      <c r="D41" s="205">
        <f>D71+(D71*0.03)</f>
        <v>170272.39</v>
      </c>
      <c r="E41" s="205">
        <v>10000</v>
      </c>
      <c r="F41" s="146" t="s">
        <v>972</v>
      </c>
      <c r="G41" s="314"/>
      <c r="H41" s="314"/>
      <c r="I41" s="314"/>
      <c r="J41" s="155" t="s">
        <v>973</v>
      </c>
    </row>
    <row r="42" spans="1:10" ht="20.25" x14ac:dyDescent="0.3">
      <c r="A42" s="39" t="s">
        <v>36</v>
      </c>
      <c r="B42" s="206">
        <f>IF(B76&gt;B41,B41,B76)</f>
        <v>0</v>
      </c>
      <c r="C42" s="206">
        <f>IF(OR(C76&gt;=C41,C76&lt;C41),C76,C41)</f>
        <v>28920.349999999977</v>
      </c>
      <c r="D42" s="206">
        <f>IF(OR(D76&gt;=D41,D76&lt;D41),D76,D41)</f>
        <v>28538</v>
      </c>
      <c r="E42" s="303">
        <v>0</v>
      </c>
      <c r="F42" s="14"/>
      <c r="G42" s="13"/>
      <c r="H42" s="13"/>
      <c r="I42" s="13"/>
      <c r="J42" s="37"/>
    </row>
    <row r="43" spans="1:10" x14ac:dyDescent="0.2">
      <c r="A43" s="39" t="s">
        <v>992</v>
      </c>
      <c r="B43" s="88">
        <f>SUM(B41:B42)</f>
        <v>119782.82</v>
      </c>
      <c r="C43" s="88">
        <f>SUM(C41:C42)</f>
        <v>110788.34999999998</v>
      </c>
      <c r="D43" s="88">
        <f>SUM(D41:D42)</f>
        <v>198810.39</v>
      </c>
      <c r="E43" s="246">
        <v>10000</v>
      </c>
      <c r="F43" s="125" t="s">
        <v>107</v>
      </c>
      <c r="G43" s="13"/>
      <c r="H43" s="13"/>
      <c r="I43" s="13"/>
      <c r="J43" s="37"/>
    </row>
    <row r="44" spans="1:10" x14ac:dyDescent="0.2">
      <c r="A44" s="39" t="s">
        <v>47</v>
      </c>
      <c r="B44" s="88">
        <f>B77</f>
        <v>0</v>
      </c>
      <c r="C44" s="88">
        <f>IF(OR(C77&gt;=C41,C77&lt;C41),C77,C41)</f>
        <v>28920.349999999977</v>
      </c>
      <c r="D44" s="88">
        <f>IF(OR(D77&gt;=D41,D77&lt;D41),D77,D41)</f>
        <v>0</v>
      </c>
      <c r="E44" s="246">
        <v>0</v>
      </c>
      <c r="F44" s="302"/>
      <c r="G44" s="302"/>
      <c r="H44" s="13"/>
      <c r="I44" s="13"/>
      <c r="J44" s="37"/>
    </row>
    <row r="45" spans="1:10" x14ac:dyDescent="0.2">
      <c r="A45" s="39" t="s">
        <v>479</v>
      </c>
      <c r="B45" s="88">
        <f>B41+B44</f>
        <v>119782.82</v>
      </c>
      <c r="C45" s="88">
        <f>C41+C44</f>
        <v>110788.34999999998</v>
      </c>
      <c r="D45" s="88">
        <f>D41+D44</f>
        <v>170272.39</v>
      </c>
      <c r="E45" s="246">
        <v>10000</v>
      </c>
      <c r="F45" s="146" t="s">
        <v>108</v>
      </c>
      <c r="G45" s="13"/>
      <c r="H45" s="13"/>
      <c r="I45" s="13"/>
      <c r="J45" s="37"/>
    </row>
    <row r="46" spans="1:10" x14ac:dyDescent="0.2">
      <c r="A46" s="39" t="s">
        <v>39</v>
      </c>
      <c r="B46" s="88">
        <f>B43-E50</f>
        <v>0</v>
      </c>
      <c r="C46" s="88">
        <f>C43-E54</f>
        <v>110788.34999999998</v>
      </c>
      <c r="D46" s="88">
        <f>D43-E62</f>
        <v>28675.390000000014</v>
      </c>
      <c r="E46" s="246">
        <v>10000</v>
      </c>
      <c r="F46" s="146" t="s">
        <v>109</v>
      </c>
      <c r="G46" s="13"/>
      <c r="H46" s="13"/>
      <c r="I46" s="13"/>
      <c r="J46" s="37"/>
    </row>
    <row r="47" spans="1:10" ht="13.5" thickBot="1" x14ac:dyDescent="0.25">
      <c r="A47" s="39" t="s">
        <v>132</v>
      </c>
      <c r="B47" s="89">
        <f>B45-E50-F50</f>
        <v>0</v>
      </c>
      <c r="C47" s="89">
        <f>C45-E54-F54</f>
        <v>0</v>
      </c>
      <c r="D47" s="308">
        <f>D45-E62-F62</f>
        <v>137.39000000001397</v>
      </c>
      <c r="E47" s="308">
        <f>E45-E67-F67</f>
        <v>10000</v>
      </c>
      <c r="F47" s="146" t="s">
        <v>110</v>
      </c>
      <c r="G47" s="146"/>
      <c r="H47" s="146"/>
      <c r="I47" s="146"/>
      <c r="J47" s="146"/>
    </row>
    <row r="48" spans="1:10" ht="51" x14ac:dyDescent="0.2">
      <c r="A48" s="19" t="s">
        <v>41</v>
      </c>
      <c r="B48" s="20" t="s">
        <v>34</v>
      </c>
      <c r="C48" s="20" t="s">
        <v>64</v>
      </c>
      <c r="D48" s="20" t="s">
        <v>63</v>
      </c>
      <c r="E48" s="20" t="s">
        <v>37</v>
      </c>
      <c r="F48" s="20" t="s">
        <v>48</v>
      </c>
      <c r="G48" s="20" t="s">
        <v>40</v>
      </c>
      <c r="H48" s="20" t="s">
        <v>38</v>
      </c>
      <c r="I48" s="20"/>
      <c r="J48" s="21" t="s">
        <v>5</v>
      </c>
    </row>
    <row r="49" spans="1:10" x14ac:dyDescent="0.2">
      <c r="A49" s="22" t="s">
        <v>10</v>
      </c>
      <c r="B49" s="23" t="s">
        <v>10</v>
      </c>
      <c r="C49" s="57">
        <v>119782.82</v>
      </c>
      <c r="D49" s="50">
        <v>45299</v>
      </c>
      <c r="E49" s="57">
        <f>C49</f>
        <v>119782.82</v>
      </c>
      <c r="F49" s="57">
        <f>IF(E49="",C49,0)</f>
        <v>0</v>
      </c>
      <c r="G49" s="23" t="s">
        <v>1155</v>
      </c>
      <c r="H49" s="23" t="s">
        <v>974</v>
      </c>
      <c r="I49" s="503"/>
      <c r="J49" s="24"/>
    </row>
    <row r="50" spans="1:10" x14ac:dyDescent="0.2">
      <c r="A50" s="25" t="s">
        <v>43</v>
      </c>
      <c r="B50" s="26"/>
      <c r="C50" s="60">
        <f>C49</f>
        <v>119782.82</v>
      </c>
      <c r="D50" s="26"/>
      <c r="E50" s="60">
        <f>E49</f>
        <v>119782.82</v>
      </c>
      <c r="F50" s="60">
        <f>F49</f>
        <v>0</v>
      </c>
      <c r="G50" s="26"/>
      <c r="H50" s="26"/>
      <c r="I50" s="505"/>
      <c r="J50" s="27"/>
    </row>
    <row r="51" spans="1:10" x14ac:dyDescent="0.2">
      <c r="A51" s="33"/>
      <c r="B51" s="33"/>
      <c r="C51" s="59"/>
      <c r="D51" s="33"/>
      <c r="E51" s="59"/>
      <c r="F51" s="59"/>
      <c r="G51" s="33"/>
      <c r="H51" s="33"/>
      <c r="I51" s="33"/>
      <c r="J51" s="33"/>
    </row>
    <row r="52" spans="1:10" x14ac:dyDescent="0.2">
      <c r="A52" s="25" t="s">
        <v>44</v>
      </c>
      <c r="B52" s="26" t="s">
        <v>567</v>
      </c>
      <c r="C52" s="58">
        <v>110788.35</v>
      </c>
      <c r="D52" s="55">
        <v>45383</v>
      </c>
      <c r="E52" s="58"/>
      <c r="F52" s="58">
        <f>C52-E52</f>
        <v>110788.35</v>
      </c>
      <c r="G52" s="51"/>
      <c r="H52" s="26" t="s">
        <v>974</v>
      </c>
      <c r="I52" s="505"/>
      <c r="J52" s="43"/>
    </row>
    <row r="53" spans="1:10" x14ac:dyDescent="0.2">
      <c r="A53" s="25"/>
      <c r="B53" s="26"/>
      <c r="C53" s="261"/>
      <c r="D53" s="55"/>
      <c r="E53" s="261"/>
      <c r="F53" s="58"/>
      <c r="G53" s="51"/>
      <c r="H53" s="26"/>
      <c r="I53" s="505"/>
      <c r="J53" s="43"/>
    </row>
    <row r="54" spans="1:10" x14ac:dyDescent="0.2">
      <c r="A54" s="25" t="s">
        <v>43</v>
      </c>
      <c r="B54" s="26"/>
      <c r="C54" s="60">
        <f>C52+C53</f>
        <v>110788.35</v>
      </c>
      <c r="D54" s="26"/>
      <c r="E54" s="60">
        <f>E52+E53</f>
        <v>0</v>
      </c>
      <c r="F54" s="60">
        <f>SUM(F52:F53)</f>
        <v>110788.35</v>
      </c>
      <c r="G54" s="26"/>
      <c r="H54" s="26"/>
      <c r="I54" s="505"/>
      <c r="J54" s="27"/>
    </row>
    <row r="55" spans="1:10" x14ac:dyDescent="0.2">
      <c r="A55" s="33"/>
      <c r="B55" s="33"/>
      <c r="C55" s="59"/>
      <c r="D55" s="33"/>
      <c r="E55" s="59"/>
      <c r="F55" s="59"/>
      <c r="G55" s="469"/>
      <c r="H55" s="469"/>
      <c r="I55" s="469"/>
      <c r="J55" s="33"/>
    </row>
    <row r="56" spans="1:10" x14ac:dyDescent="0.2">
      <c r="A56" s="25" t="s">
        <v>42</v>
      </c>
      <c r="B56" s="26"/>
      <c r="C56" s="58"/>
      <c r="D56" s="55"/>
      <c r="E56" s="58"/>
      <c r="F56" s="151"/>
      <c r="G56" s="253"/>
      <c r="H56" s="26"/>
      <c r="I56" s="232"/>
      <c r="J56" s="152"/>
    </row>
    <row r="57" spans="1:10" x14ac:dyDescent="0.2">
      <c r="A57" s="150"/>
      <c r="B57" s="256" t="s">
        <v>532</v>
      </c>
      <c r="C57" s="476">
        <v>59600</v>
      </c>
      <c r="D57" s="257" t="s">
        <v>1188</v>
      </c>
      <c r="E57" s="476">
        <v>59600</v>
      </c>
      <c r="F57" s="476"/>
      <c r="G57" s="464" t="s">
        <v>1222</v>
      </c>
      <c r="H57" s="145" t="s">
        <v>1183</v>
      </c>
      <c r="I57" s="506"/>
      <c r="J57" s="144"/>
    </row>
    <row r="58" spans="1:10" x14ac:dyDescent="0.2">
      <c r="A58" s="472"/>
      <c r="B58" s="256" t="s">
        <v>532</v>
      </c>
      <c r="C58" s="476">
        <v>25535</v>
      </c>
      <c r="D58" s="257" t="s">
        <v>1189</v>
      </c>
      <c r="E58" s="476">
        <v>25535</v>
      </c>
      <c r="F58" s="476"/>
      <c r="G58" s="464" t="s">
        <v>1221</v>
      </c>
      <c r="H58" s="145" t="s">
        <v>1184</v>
      </c>
      <c r="I58" s="506"/>
      <c r="J58" s="144"/>
    </row>
    <row r="59" spans="1:10" x14ac:dyDescent="0.2">
      <c r="A59" s="472"/>
      <c r="B59" s="256" t="s">
        <v>10</v>
      </c>
      <c r="C59" s="476">
        <v>85000</v>
      </c>
      <c r="D59" s="422" t="s">
        <v>1192</v>
      </c>
      <c r="E59" s="476">
        <v>85000</v>
      </c>
      <c r="F59" s="476"/>
      <c r="G59" s="258" t="s">
        <v>1201</v>
      </c>
      <c r="H59" s="203" t="s">
        <v>1183</v>
      </c>
      <c r="I59" s="203"/>
      <c r="J59" s="144"/>
    </row>
    <row r="60" spans="1:10" x14ac:dyDescent="0.2">
      <c r="A60" s="472"/>
      <c r="B60" s="421"/>
      <c r="C60" s="483"/>
      <c r="D60" s="429"/>
      <c r="E60" s="483"/>
      <c r="F60" s="483"/>
      <c r="G60" s="423"/>
      <c r="H60" s="421"/>
      <c r="I60" s="274"/>
      <c r="J60" s="144"/>
    </row>
    <row r="61" spans="1:10" x14ac:dyDescent="0.2">
      <c r="A61" s="482"/>
      <c r="B61" s="431"/>
      <c r="C61" s="481"/>
      <c r="D61" s="430"/>
      <c r="E61" s="481"/>
      <c r="F61" s="480"/>
      <c r="G61" s="428"/>
      <c r="H61" s="427"/>
      <c r="I61" s="274"/>
      <c r="J61" s="154"/>
    </row>
    <row r="62" spans="1:10" ht="13.5" thickBot="1" x14ac:dyDescent="0.25">
      <c r="A62" s="424" t="s">
        <v>43</v>
      </c>
      <c r="B62" s="425"/>
      <c r="C62" s="426">
        <f>SUM(C57:C61)</f>
        <v>170135</v>
      </c>
      <c r="D62" s="425"/>
      <c r="E62" s="426">
        <f>SUM(E57:E61)</f>
        <v>170135</v>
      </c>
      <c r="F62" s="426">
        <f>SUM(F57:F61)</f>
        <v>0</v>
      </c>
      <c r="G62" s="425"/>
      <c r="H62" s="425"/>
      <c r="I62" s="508"/>
      <c r="J62" s="30"/>
    </row>
    <row r="63" spans="1:10" x14ac:dyDescent="0.2">
      <c r="A63" s="319"/>
      <c r="B63" s="304"/>
      <c r="C63" s="320"/>
      <c r="D63" s="305"/>
      <c r="E63" s="320"/>
      <c r="F63" s="320"/>
      <c r="G63" s="304"/>
      <c r="H63" s="304"/>
      <c r="I63" s="510"/>
      <c r="J63" s="307"/>
    </row>
    <row r="64" spans="1:10" x14ac:dyDescent="0.2">
      <c r="A64" s="150" t="s">
        <v>968</v>
      </c>
      <c r="B64" s="145"/>
      <c r="C64" s="151"/>
      <c r="D64" s="53"/>
      <c r="E64" s="151"/>
      <c r="F64" s="151"/>
      <c r="G64" s="145"/>
      <c r="H64" s="145"/>
      <c r="I64" s="506"/>
      <c r="J64" s="144"/>
    </row>
    <row r="65" spans="1:10" x14ac:dyDescent="0.2">
      <c r="A65" s="150"/>
      <c r="B65" s="145"/>
      <c r="C65" s="151"/>
      <c r="D65" s="53"/>
      <c r="E65" s="151"/>
      <c r="F65" s="151"/>
      <c r="G65" s="145"/>
      <c r="H65" s="145"/>
      <c r="I65" s="506"/>
      <c r="J65" s="144"/>
    </row>
    <row r="66" spans="1:10" x14ac:dyDescent="0.2">
      <c r="A66" s="150"/>
      <c r="B66" s="145"/>
      <c r="C66" s="151"/>
      <c r="D66" s="53"/>
      <c r="E66" s="151"/>
      <c r="F66" s="151"/>
      <c r="G66" s="145"/>
      <c r="H66" s="145"/>
      <c r="I66" s="506"/>
      <c r="J66" s="144"/>
    </row>
    <row r="67" spans="1:10" ht="13.5" thickBot="1" x14ac:dyDescent="0.25">
      <c r="A67" s="28" t="s">
        <v>43</v>
      </c>
      <c r="B67" s="29"/>
      <c r="C67" s="56">
        <f>SUM(C65:C66)</f>
        <v>0</v>
      </c>
      <c r="D67" s="29"/>
      <c r="E67" s="56">
        <f>SUM(E65:E66)</f>
        <v>0</v>
      </c>
      <c r="F67" s="56">
        <f>SUM(F65:F66)</f>
        <v>0</v>
      </c>
      <c r="G67" s="29"/>
      <c r="H67" s="29"/>
      <c r="I67" s="511"/>
      <c r="J67" s="30"/>
    </row>
    <row r="68" spans="1:10" ht="13.5" thickBot="1" x14ac:dyDescent="0.25"/>
    <row r="69" spans="1:10" ht="21" thickBot="1" x14ac:dyDescent="0.25">
      <c r="A69" s="550" t="s">
        <v>963</v>
      </c>
      <c r="B69" s="551"/>
      <c r="C69" s="551"/>
      <c r="D69" s="551"/>
      <c r="E69" s="551"/>
      <c r="F69" s="551"/>
      <c r="G69" s="551"/>
      <c r="H69" s="551"/>
      <c r="I69" s="551"/>
      <c r="J69" s="552"/>
    </row>
    <row r="70" spans="1:10" ht="20.25" x14ac:dyDescent="0.3">
      <c r="A70" s="39"/>
      <c r="B70" s="13" t="s">
        <v>964</v>
      </c>
      <c r="C70" s="13" t="s">
        <v>965</v>
      </c>
      <c r="D70" s="13" t="s">
        <v>966</v>
      </c>
      <c r="E70" s="13" t="s">
        <v>967</v>
      </c>
      <c r="F70" s="14"/>
      <c r="G70" s="13"/>
      <c r="H70" s="13"/>
      <c r="I70" s="13"/>
      <c r="J70" s="37"/>
    </row>
    <row r="71" spans="1:10" x14ac:dyDescent="0.2">
      <c r="A71" s="39" t="s">
        <v>57</v>
      </c>
      <c r="B71" s="205">
        <v>116294</v>
      </c>
      <c r="C71" s="205">
        <v>81868</v>
      </c>
      <c r="D71" s="205">
        <v>165313</v>
      </c>
      <c r="E71" s="205">
        <v>10000</v>
      </c>
      <c r="F71" s="146" t="s">
        <v>972</v>
      </c>
      <c r="G71" s="314"/>
      <c r="H71" s="314"/>
      <c r="I71" s="314"/>
      <c r="J71" s="155" t="s">
        <v>973</v>
      </c>
    </row>
    <row r="72" spans="1:10" ht="20.25" x14ac:dyDescent="0.3">
      <c r="A72" s="39" t="s">
        <v>36</v>
      </c>
      <c r="B72" s="206">
        <f>IF(B107&gt;B71, B71,B107)</f>
        <v>0</v>
      </c>
      <c r="C72" s="206">
        <f>IF(C107&gt;C71,C71,C107)</f>
        <v>81868</v>
      </c>
      <c r="D72" s="206">
        <f>IF(D107&gt;D71,D71,D107)</f>
        <v>29761</v>
      </c>
      <c r="E72" s="303">
        <v>0</v>
      </c>
      <c r="F72" s="14"/>
      <c r="G72" s="13"/>
      <c r="H72" s="13"/>
      <c r="I72" s="13"/>
      <c r="J72" s="37"/>
    </row>
    <row r="73" spans="1:10" x14ac:dyDescent="0.2">
      <c r="A73" s="39" t="s">
        <v>969</v>
      </c>
      <c r="B73" s="88">
        <f>SUM(B71:B72)</f>
        <v>116294</v>
      </c>
      <c r="C73" s="88">
        <f>SUM(C71:C72)</f>
        <v>163736</v>
      </c>
      <c r="D73" s="88">
        <f>SUM(D71:D72)</f>
        <v>195074</v>
      </c>
      <c r="E73" s="246">
        <v>10000</v>
      </c>
      <c r="F73" s="125" t="s">
        <v>107</v>
      </c>
      <c r="G73" s="13"/>
      <c r="H73" s="13"/>
      <c r="I73" s="13"/>
      <c r="J73" s="37"/>
    </row>
    <row r="74" spans="1:10" x14ac:dyDescent="0.2">
      <c r="A74" s="39" t="s">
        <v>47</v>
      </c>
      <c r="B74" s="88">
        <f>B108</f>
        <v>0</v>
      </c>
      <c r="C74" s="380">
        <f>IF(C108&gt;C71,C71,C108)</f>
        <v>81868</v>
      </c>
      <c r="D74" s="88">
        <f>IF(D108&gt;D102,D102,D108)</f>
        <v>25223.000000000004</v>
      </c>
      <c r="E74" s="246">
        <v>0</v>
      </c>
      <c r="F74" s="302"/>
      <c r="G74" s="302"/>
      <c r="H74" s="13"/>
      <c r="I74" s="13"/>
      <c r="J74" s="37"/>
    </row>
    <row r="75" spans="1:10" x14ac:dyDescent="0.2">
      <c r="A75" s="39" t="s">
        <v>479</v>
      </c>
      <c r="B75" s="88">
        <f>B71+B74</f>
        <v>116294</v>
      </c>
      <c r="C75" s="88">
        <f>C71+C74</f>
        <v>163736</v>
      </c>
      <c r="D75" s="88">
        <f>D71+D74</f>
        <v>190536</v>
      </c>
      <c r="E75" s="246">
        <v>10000</v>
      </c>
      <c r="F75" s="146" t="s">
        <v>108</v>
      </c>
      <c r="G75" s="13"/>
      <c r="H75" s="13"/>
      <c r="I75" s="13"/>
      <c r="J75" s="37"/>
    </row>
    <row r="76" spans="1:10" x14ac:dyDescent="0.2">
      <c r="A76" s="39" t="s">
        <v>39</v>
      </c>
      <c r="B76" s="88">
        <f>B73-E80</f>
        <v>0</v>
      </c>
      <c r="C76" s="88">
        <f>C73-E84</f>
        <v>28920.349999999977</v>
      </c>
      <c r="D76" s="88">
        <f>D73-E92</f>
        <v>28538</v>
      </c>
      <c r="E76" s="246">
        <v>10000</v>
      </c>
      <c r="F76" s="146" t="s">
        <v>109</v>
      </c>
      <c r="G76" s="13"/>
      <c r="H76" s="13"/>
      <c r="I76" s="13"/>
      <c r="J76" s="37"/>
    </row>
    <row r="77" spans="1:10" ht="13.5" thickBot="1" x14ac:dyDescent="0.25">
      <c r="A77" s="39" t="s">
        <v>132</v>
      </c>
      <c r="B77" s="89">
        <f>B75-E80-F80</f>
        <v>0</v>
      </c>
      <c r="C77" s="89">
        <f>C75-E84-F84</f>
        <v>28920.349999999977</v>
      </c>
      <c r="D77" s="308">
        <f>D75-E92-F92</f>
        <v>0</v>
      </c>
      <c r="E77" s="308">
        <f>E75-E97-F97</f>
        <v>0</v>
      </c>
      <c r="F77" s="146" t="s">
        <v>110</v>
      </c>
      <c r="G77" s="146"/>
      <c r="H77" s="146"/>
      <c r="I77" s="146"/>
      <c r="J77" s="146"/>
    </row>
    <row r="78" spans="1:10" ht="51" x14ac:dyDescent="0.2">
      <c r="A78" s="19" t="s">
        <v>41</v>
      </c>
      <c r="B78" s="20" t="s">
        <v>34</v>
      </c>
      <c r="C78" s="20" t="s">
        <v>64</v>
      </c>
      <c r="D78" s="20" t="s">
        <v>63</v>
      </c>
      <c r="E78" s="20" t="s">
        <v>37</v>
      </c>
      <c r="F78" s="20" t="s">
        <v>48</v>
      </c>
      <c r="G78" s="20" t="s">
        <v>40</v>
      </c>
      <c r="H78" s="20" t="s">
        <v>38</v>
      </c>
      <c r="I78" s="20"/>
      <c r="J78" s="21" t="s">
        <v>5</v>
      </c>
    </row>
    <row r="79" spans="1:10" x14ac:dyDescent="0.2">
      <c r="A79" s="22" t="s">
        <v>10</v>
      </c>
      <c r="B79" s="23" t="s">
        <v>10</v>
      </c>
      <c r="C79" s="57">
        <v>116294</v>
      </c>
      <c r="D79" s="50">
        <v>45000</v>
      </c>
      <c r="E79" s="57">
        <f>C79</f>
        <v>116294</v>
      </c>
      <c r="F79" s="57">
        <f>IF(E79="",C79,0)</f>
        <v>0</v>
      </c>
      <c r="G79" s="23" t="s">
        <v>1009</v>
      </c>
      <c r="H79" s="23"/>
      <c r="I79" s="503"/>
      <c r="J79" s="24"/>
    </row>
    <row r="80" spans="1:10" x14ac:dyDescent="0.2">
      <c r="A80" s="25" t="s">
        <v>43</v>
      </c>
      <c r="B80" s="26"/>
      <c r="C80" s="60">
        <f>C79</f>
        <v>116294</v>
      </c>
      <c r="D80" s="26"/>
      <c r="E80" s="60">
        <f>E79</f>
        <v>116294</v>
      </c>
      <c r="F80" s="60">
        <f>F79</f>
        <v>0</v>
      </c>
      <c r="G80" s="26"/>
      <c r="H80" s="26"/>
      <c r="I80" s="505"/>
      <c r="J80" s="27"/>
    </row>
    <row r="81" spans="1:10" x14ac:dyDescent="0.2">
      <c r="A81" s="33"/>
      <c r="B81" s="33"/>
      <c r="C81" s="59"/>
      <c r="D81" s="33"/>
      <c r="E81" s="59"/>
      <c r="F81" s="59"/>
      <c r="G81" s="33"/>
      <c r="H81" s="33"/>
      <c r="I81" s="33"/>
      <c r="J81" s="33"/>
    </row>
    <row r="82" spans="1:10" x14ac:dyDescent="0.2">
      <c r="A82" s="25" t="s">
        <v>44</v>
      </c>
      <c r="B82" s="26" t="s">
        <v>567</v>
      </c>
      <c r="C82" s="58">
        <v>44912.94</v>
      </c>
      <c r="D82" s="55" t="s">
        <v>1042</v>
      </c>
      <c r="E82" s="58">
        <v>44912.94</v>
      </c>
      <c r="F82" s="58">
        <f>C82-E82</f>
        <v>0</v>
      </c>
      <c r="G82" s="51" t="s">
        <v>1042</v>
      </c>
      <c r="H82" s="26" t="s">
        <v>974</v>
      </c>
      <c r="I82" s="505"/>
      <c r="J82" s="43"/>
    </row>
    <row r="83" spans="1:10" x14ac:dyDescent="0.2">
      <c r="A83" s="25"/>
      <c r="B83" s="26"/>
      <c r="C83" s="261">
        <v>89902.71</v>
      </c>
      <c r="D83" s="55"/>
      <c r="E83" s="261">
        <v>89902.71</v>
      </c>
      <c r="F83" s="58"/>
      <c r="G83" s="51" t="s">
        <v>1118</v>
      </c>
      <c r="H83" s="26"/>
      <c r="I83" s="505"/>
      <c r="J83" s="43"/>
    </row>
    <row r="84" spans="1:10" x14ac:dyDescent="0.2">
      <c r="A84" s="25" t="s">
        <v>43</v>
      </c>
      <c r="B84" s="26"/>
      <c r="C84" s="60">
        <f>C82+C83</f>
        <v>134815.65000000002</v>
      </c>
      <c r="D84" s="26"/>
      <c r="E84" s="60">
        <f>E82+E83</f>
        <v>134815.65000000002</v>
      </c>
      <c r="F84" s="60">
        <f>SUM(F82:F83)</f>
        <v>0</v>
      </c>
      <c r="G84" s="26"/>
      <c r="H84" s="26"/>
      <c r="I84" s="505"/>
      <c r="J84" s="27"/>
    </row>
    <row r="85" spans="1:10" x14ac:dyDescent="0.2">
      <c r="A85" s="33"/>
      <c r="B85" s="33"/>
      <c r="C85" s="59"/>
      <c r="D85" s="33"/>
      <c r="E85" s="59"/>
      <c r="F85" s="59"/>
      <c r="G85" s="469"/>
      <c r="H85" s="469"/>
      <c r="I85" s="469"/>
      <c r="J85" s="33"/>
    </row>
    <row r="86" spans="1:10" x14ac:dyDescent="0.2">
      <c r="A86" s="25" t="s">
        <v>42</v>
      </c>
      <c r="B86" s="26"/>
      <c r="C86" s="58"/>
      <c r="D86" s="55"/>
      <c r="E86" s="58"/>
      <c r="F86" s="151"/>
      <c r="G86" s="253"/>
      <c r="H86" s="26"/>
      <c r="I86" s="232"/>
      <c r="J86" s="152"/>
    </row>
    <row r="87" spans="1:10" x14ac:dyDescent="0.2">
      <c r="A87" s="150"/>
      <c r="B87" s="256" t="s">
        <v>10</v>
      </c>
      <c r="C87" s="476">
        <v>70909</v>
      </c>
      <c r="D87" s="257" t="s">
        <v>1035</v>
      </c>
      <c r="E87" s="476">
        <v>70909</v>
      </c>
      <c r="F87" s="476">
        <f>C87-E87</f>
        <v>0</v>
      </c>
      <c r="G87" s="258" t="s">
        <v>1109</v>
      </c>
      <c r="H87" s="145" t="s">
        <v>1005</v>
      </c>
      <c r="I87" s="506"/>
      <c r="J87" s="144"/>
    </row>
    <row r="88" spans="1:10" x14ac:dyDescent="0.2">
      <c r="A88" s="472"/>
      <c r="B88" s="256" t="s">
        <v>532</v>
      </c>
      <c r="C88" s="476">
        <f>50000+25680.84</f>
        <v>75680.84</v>
      </c>
      <c r="D88" s="257" t="s">
        <v>1036</v>
      </c>
      <c r="E88" s="476">
        <v>75680.84</v>
      </c>
      <c r="F88" s="476">
        <f>C88-E88</f>
        <v>0</v>
      </c>
      <c r="G88" s="258" t="s">
        <v>1103</v>
      </c>
      <c r="H88" s="145" t="s">
        <v>1005</v>
      </c>
      <c r="I88" s="506"/>
      <c r="J88" s="144" t="s">
        <v>1100</v>
      </c>
    </row>
    <row r="89" spans="1:10" x14ac:dyDescent="0.2">
      <c r="A89" s="472"/>
      <c r="B89" s="256" t="s">
        <v>10</v>
      </c>
      <c r="C89" s="476">
        <v>24000</v>
      </c>
      <c r="D89" s="422" t="s">
        <v>1037</v>
      </c>
      <c r="E89" s="476"/>
      <c r="F89" s="476">
        <f>C89-E89</f>
        <v>24000</v>
      </c>
      <c r="G89" s="258"/>
      <c r="H89" s="203" t="s">
        <v>1006</v>
      </c>
      <c r="I89" s="203"/>
      <c r="J89" s="144"/>
    </row>
    <row r="90" spans="1:10" x14ac:dyDescent="0.2">
      <c r="A90" s="472"/>
      <c r="B90" s="421" t="s">
        <v>532</v>
      </c>
      <c r="C90" s="483">
        <v>44909</v>
      </c>
      <c r="D90" s="429" t="s">
        <v>1039</v>
      </c>
      <c r="E90" s="483">
        <v>19228.16</v>
      </c>
      <c r="F90" s="483">
        <v>0</v>
      </c>
      <c r="G90" s="423" t="s">
        <v>1102</v>
      </c>
      <c r="H90" s="421" t="s">
        <v>1006</v>
      </c>
      <c r="I90" s="274"/>
      <c r="J90" s="144" t="s">
        <v>1104</v>
      </c>
    </row>
    <row r="91" spans="1:10" ht="25.5" x14ac:dyDescent="0.2">
      <c r="A91" s="482"/>
      <c r="B91" s="431" t="s">
        <v>263</v>
      </c>
      <c r="C91" s="481">
        <f>2809-1360</f>
        <v>1449</v>
      </c>
      <c r="D91" s="430" t="s">
        <v>1131</v>
      </c>
      <c r="E91" s="481">
        <v>718</v>
      </c>
      <c r="F91" s="480"/>
      <c r="G91" s="428" t="s">
        <v>1131</v>
      </c>
      <c r="H91" s="427" t="s">
        <v>1029</v>
      </c>
      <c r="I91" s="274"/>
      <c r="J91" s="154" t="s">
        <v>1132</v>
      </c>
    </row>
    <row r="92" spans="1:10" ht="13.5" thickBot="1" x14ac:dyDescent="0.25">
      <c r="A92" s="424" t="s">
        <v>43</v>
      </c>
      <c r="B92" s="425"/>
      <c r="C92" s="426">
        <f>SUM(C87:C91)</f>
        <v>216947.84</v>
      </c>
      <c r="D92" s="425"/>
      <c r="E92" s="426">
        <f>SUM(E87:E91)</f>
        <v>166536</v>
      </c>
      <c r="F92" s="426">
        <f>SUM(F87:F91)</f>
        <v>24000</v>
      </c>
      <c r="G92" s="425"/>
      <c r="H92" s="425"/>
      <c r="I92" s="508"/>
      <c r="J92" s="30"/>
    </row>
    <row r="93" spans="1:10" x14ac:dyDescent="0.2">
      <c r="A93" s="319"/>
      <c r="B93" s="304"/>
      <c r="C93" s="320"/>
      <c r="D93" s="305"/>
      <c r="E93" s="320"/>
      <c r="F93" s="320"/>
      <c r="G93" s="304"/>
      <c r="H93" s="304"/>
      <c r="I93" s="510"/>
      <c r="J93" s="307"/>
    </row>
    <row r="94" spans="1:10" x14ac:dyDescent="0.2">
      <c r="A94" s="150" t="s">
        <v>968</v>
      </c>
      <c r="B94" s="145"/>
      <c r="C94" s="151"/>
      <c r="D94" s="53"/>
      <c r="E94" s="151"/>
      <c r="F94" s="151"/>
      <c r="G94" s="145"/>
      <c r="H94" s="145"/>
      <c r="I94" s="506"/>
      <c r="J94" s="144"/>
    </row>
    <row r="95" spans="1:10" x14ac:dyDescent="0.2">
      <c r="A95" s="150"/>
      <c r="B95" s="145" t="s">
        <v>263</v>
      </c>
      <c r="C95" s="151">
        <v>8640</v>
      </c>
      <c r="D95" s="53" t="s">
        <v>1127</v>
      </c>
      <c r="E95" s="151"/>
      <c r="F95" s="151">
        <f>C95</f>
        <v>8640</v>
      </c>
      <c r="G95" s="145"/>
      <c r="H95" s="145" t="s">
        <v>1005</v>
      </c>
      <c r="I95" s="506"/>
      <c r="J95" s="144" t="s">
        <v>1119</v>
      </c>
    </row>
    <row r="96" spans="1:10" x14ac:dyDescent="0.2">
      <c r="A96" s="150"/>
      <c r="B96" s="145" t="s">
        <v>263</v>
      </c>
      <c r="C96" s="151">
        <v>1360</v>
      </c>
      <c r="D96" s="53">
        <v>45261</v>
      </c>
      <c r="E96" s="151">
        <v>1360</v>
      </c>
      <c r="F96" s="151"/>
      <c r="G96" s="145" t="s">
        <v>1131</v>
      </c>
      <c r="H96" s="145" t="s">
        <v>1029</v>
      </c>
      <c r="I96" s="506"/>
      <c r="J96" s="144"/>
    </row>
    <row r="97" spans="1:10" ht="13.5" thickBot="1" x14ac:dyDescent="0.25">
      <c r="A97" s="28" t="s">
        <v>43</v>
      </c>
      <c r="B97" s="29"/>
      <c r="C97" s="56">
        <f>SUM(C95:C96)</f>
        <v>10000</v>
      </c>
      <c r="D97" s="29"/>
      <c r="E97" s="56">
        <f>SUM(E95:E96)</f>
        <v>1360</v>
      </c>
      <c r="F97" s="56">
        <f>SUM(F95:F96)</f>
        <v>8640</v>
      </c>
      <c r="G97" s="29"/>
      <c r="H97" s="29"/>
      <c r="I97" s="511"/>
      <c r="J97" s="30"/>
    </row>
    <row r="99" spans="1:10" ht="13.5" thickBot="1" x14ac:dyDescent="0.25"/>
    <row r="100" spans="1:10" ht="21" thickBot="1" x14ac:dyDescent="0.25">
      <c r="A100" s="550" t="s">
        <v>863</v>
      </c>
      <c r="B100" s="551"/>
      <c r="C100" s="551"/>
      <c r="D100" s="551"/>
      <c r="E100" s="551"/>
      <c r="F100" s="551"/>
      <c r="G100" s="551"/>
      <c r="H100" s="551"/>
      <c r="I100" s="551"/>
      <c r="J100" s="552"/>
    </row>
    <row r="101" spans="1:10" ht="20.25" x14ac:dyDescent="0.3">
      <c r="A101" s="39"/>
      <c r="B101" s="13" t="s">
        <v>859</v>
      </c>
      <c r="C101" s="13" t="s">
        <v>860</v>
      </c>
      <c r="D101" s="13" t="s">
        <v>861</v>
      </c>
      <c r="E101" s="14"/>
      <c r="F101" s="14"/>
      <c r="G101" s="13"/>
      <c r="H101" s="13"/>
      <c r="I101" s="13"/>
      <c r="J101" s="37"/>
    </row>
    <row r="102" spans="1:10" ht="20.25" x14ac:dyDescent="0.3">
      <c r="A102" s="39" t="s">
        <v>57</v>
      </c>
      <c r="B102" s="205">
        <v>101125</v>
      </c>
      <c r="C102" s="205">
        <f>C129+(C129*0.03)</f>
        <v>81867.259821779997</v>
      </c>
      <c r="D102" s="205">
        <v>143750</v>
      </c>
      <c r="E102" s="14"/>
      <c r="F102" s="14"/>
      <c r="G102" s="13"/>
      <c r="H102" s="13"/>
      <c r="I102" s="13"/>
      <c r="J102" s="37"/>
    </row>
    <row r="103" spans="1:10" ht="20.25" x14ac:dyDescent="0.3">
      <c r="A103" s="39" t="s">
        <v>36</v>
      </c>
      <c r="B103" s="206">
        <f>IF(B134&gt;B102, B102,B134)</f>
        <v>0</v>
      </c>
      <c r="C103" s="206">
        <f>IF(C134&gt;C102,C102,C134)</f>
        <v>81867.259821779997</v>
      </c>
      <c r="D103" s="206">
        <f>IF(D134&gt;D102,D102,D134)</f>
        <v>10011</v>
      </c>
      <c r="E103" s="14"/>
      <c r="F103" s="14"/>
      <c r="G103" s="13"/>
      <c r="H103" s="13"/>
      <c r="I103" s="13"/>
      <c r="J103" s="37"/>
    </row>
    <row r="104" spans="1:10" ht="20.25" x14ac:dyDescent="0.3">
      <c r="A104" s="39" t="s">
        <v>862</v>
      </c>
      <c r="B104" s="88">
        <f>SUM(B102:B103)</f>
        <v>101125</v>
      </c>
      <c r="C104" s="88">
        <f>SUM(C102:C103)</f>
        <v>163734.51964355999</v>
      </c>
      <c r="D104" s="88">
        <f>SUM(D102:D103)</f>
        <v>153761</v>
      </c>
      <c r="E104" s="125" t="s">
        <v>107</v>
      </c>
      <c r="F104" s="14"/>
      <c r="G104" s="13"/>
      <c r="H104" s="13"/>
      <c r="I104" s="13"/>
      <c r="J104" s="37"/>
    </row>
    <row r="105" spans="1:10" x14ac:dyDescent="0.2">
      <c r="A105" s="39" t="s">
        <v>47</v>
      </c>
      <c r="B105" s="88">
        <f>B135</f>
        <v>0</v>
      </c>
      <c r="C105" s="88">
        <f>IF(C135&gt;C102,C135,C102)</f>
        <v>114955.59072600002</v>
      </c>
      <c r="D105" s="88">
        <f>IF(D135&gt;D129,D129,D135)</f>
        <v>5473</v>
      </c>
      <c r="E105" s="553"/>
      <c r="F105" s="553"/>
      <c r="G105" s="553"/>
      <c r="H105" s="13"/>
      <c r="I105" s="13"/>
      <c r="J105" s="37"/>
    </row>
    <row r="106" spans="1:10" ht="20.25" x14ac:dyDescent="0.3">
      <c r="A106" s="39" t="s">
        <v>479</v>
      </c>
      <c r="B106" s="88">
        <f>B102+B105</f>
        <v>101125</v>
      </c>
      <c r="C106" s="88">
        <f>C102+C105</f>
        <v>196822.85054778002</v>
      </c>
      <c r="D106" s="88">
        <f>D102+D105</f>
        <v>149223</v>
      </c>
      <c r="E106" s="146" t="s">
        <v>108</v>
      </c>
      <c r="F106" s="14"/>
      <c r="G106" s="13"/>
      <c r="H106" s="13"/>
      <c r="I106" s="13"/>
      <c r="J106" s="37"/>
    </row>
    <row r="107" spans="1:10" ht="20.25" x14ac:dyDescent="0.3">
      <c r="A107" s="39" t="s">
        <v>39</v>
      </c>
      <c r="B107" s="88">
        <f>B104-E111</f>
        <v>0</v>
      </c>
      <c r="C107" s="88">
        <f>C104-E115</f>
        <v>102405.67964356</v>
      </c>
      <c r="D107" s="88">
        <f>D104-E124</f>
        <v>29761</v>
      </c>
      <c r="E107" s="146" t="s">
        <v>109</v>
      </c>
      <c r="F107" s="14"/>
      <c r="G107" s="13"/>
      <c r="H107" s="13"/>
      <c r="I107" s="13"/>
      <c r="J107" s="37"/>
    </row>
    <row r="108" spans="1:10" ht="13.5" thickBot="1" x14ac:dyDescent="0.25">
      <c r="A108" s="39" t="s">
        <v>132</v>
      </c>
      <c r="B108" s="89">
        <f>B106-E111-F111</f>
        <v>0</v>
      </c>
      <c r="C108" s="89">
        <f>C106-E115-F115</f>
        <v>87066.960547780021</v>
      </c>
      <c r="D108" s="90">
        <f>D106-E124-F124</f>
        <v>25223.000000000004</v>
      </c>
      <c r="E108" s="554" t="s">
        <v>110</v>
      </c>
      <c r="F108" s="554"/>
      <c r="G108" s="554"/>
      <c r="H108" s="554"/>
      <c r="I108" s="146"/>
      <c r="J108" s="141"/>
    </row>
    <row r="109" spans="1:10" ht="51" x14ac:dyDescent="0.2">
      <c r="A109" s="19" t="s">
        <v>41</v>
      </c>
      <c r="B109" s="20" t="s">
        <v>34</v>
      </c>
      <c r="C109" s="20" t="s">
        <v>64</v>
      </c>
      <c r="D109" s="20" t="s">
        <v>63</v>
      </c>
      <c r="E109" s="20" t="s">
        <v>37</v>
      </c>
      <c r="F109" s="20" t="s">
        <v>48</v>
      </c>
      <c r="G109" s="20" t="s">
        <v>40</v>
      </c>
      <c r="H109" s="20" t="s">
        <v>38</v>
      </c>
      <c r="I109" s="20"/>
      <c r="J109" s="21" t="s">
        <v>5</v>
      </c>
    </row>
    <row r="110" spans="1:10" x14ac:dyDescent="0.2">
      <c r="A110" s="22" t="s">
        <v>10</v>
      </c>
      <c r="B110" s="23" t="s">
        <v>10</v>
      </c>
      <c r="C110" s="57">
        <v>101125</v>
      </c>
      <c r="D110" s="50">
        <v>44586</v>
      </c>
      <c r="E110" s="57">
        <f>C110</f>
        <v>101125</v>
      </c>
      <c r="F110" s="57">
        <f>IF(E110="",C110,0)</f>
        <v>0</v>
      </c>
      <c r="G110" s="23" t="s">
        <v>881</v>
      </c>
      <c r="H110" s="23" t="s">
        <v>487</v>
      </c>
      <c r="I110" s="503"/>
      <c r="J110" s="24"/>
    </row>
    <row r="111" spans="1:10" x14ac:dyDescent="0.2">
      <c r="A111" s="25" t="s">
        <v>43</v>
      </c>
      <c r="B111" s="26"/>
      <c r="C111" s="60">
        <f>C110</f>
        <v>101125</v>
      </c>
      <c r="D111" s="26"/>
      <c r="E111" s="60">
        <f>E110</f>
        <v>101125</v>
      </c>
      <c r="F111" s="60">
        <f>F110</f>
        <v>0</v>
      </c>
      <c r="G111" s="26"/>
      <c r="H111" s="26"/>
      <c r="I111" s="505"/>
      <c r="J111" s="27"/>
    </row>
    <row r="112" spans="1:10" x14ac:dyDescent="0.2">
      <c r="A112" s="33"/>
      <c r="B112" s="33"/>
      <c r="C112" s="59"/>
      <c r="D112" s="33"/>
      <c r="E112" s="59"/>
      <c r="F112" s="59"/>
      <c r="G112" s="33"/>
      <c r="H112" s="33"/>
      <c r="I112" s="33"/>
      <c r="J112" s="33"/>
    </row>
    <row r="113" spans="1:10" x14ac:dyDescent="0.2">
      <c r="A113" s="25" t="s">
        <v>44</v>
      </c>
      <c r="B113" s="26" t="s">
        <v>567</v>
      </c>
      <c r="C113" s="58">
        <v>61328.84</v>
      </c>
      <c r="D113" s="55" t="s">
        <v>911</v>
      </c>
      <c r="E113" s="58">
        <v>61328.84</v>
      </c>
      <c r="F113" s="58">
        <f>C113-E113</f>
        <v>0</v>
      </c>
      <c r="G113" s="51" t="s">
        <v>911</v>
      </c>
      <c r="H113" s="26" t="s">
        <v>487</v>
      </c>
      <c r="I113" s="505"/>
      <c r="J113" s="43"/>
    </row>
    <row r="114" spans="1:10" x14ac:dyDescent="0.2">
      <c r="A114" s="25"/>
      <c r="B114" s="26"/>
      <c r="C114" s="261"/>
      <c r="D114" s="55"/>
      <c r="E114" s="261"/>
      <c r="F114" s="58">
        <v>48427.05</v>
      </c>
      <c r="G114" s="51" t="s">
        <v>937</v>
      </c>
      <c r="H114" s="26" t="s">
        <v>487</v>
      </c>
      <c r="I114" s="505"/>
      <c r="J114" s="43"/>
    </row>
    <row r="115" spans="1:10" x14ac:dyDescent="0.2">
      <c r="A115" s="25" t="s">
        <v>43</v>
      </c>
      <c r="B115" s="26"/>
      <c r="C115" s="60">
        <f>C113+C114</f>
        <v>61328.84</v>
      </c>
      <c r="D115" s="26"/>
      <c r="E115" s="60">
        <f>E113+E114</f>
        <v>61328.84</v>
      </c>
      <c r="F115" s="60">
        <f>SUM(F113:F114)</f>
        <v>48427.05</v>
      </c>
      <c r="G115" s="26"/>
      <c r="H115" s="26"/>
      <c r="I115" s="505"/>
      <c r="J115" s="27"/>
    </row>
    <row r="116" spans="1:10" x14ac:dyDescent="0.2">
      <c r="A116" s="33"/>
      <c r="B116" s="33"/>
      <c r="C116" s="59"/>
      <c r="D116" s="33"/>
      <c r="E116" s="59"/>
      <c r="F116" s="59"/>
      <c r="G116" s="469"/>
      <c r="H116" s="469"/>
      <c r="I116" s="469"/>
      <c r="J116" s="33"/>
    </row>
    <row r="117" spans="1:10" x14ac:dyDescent="0.2">
      <c r="A117" s="25" t="s">
        <v>42</v>
      </c>
      <c r="B117" s="26"/>
      <c r="C117" s="58"/>
      <c r="D117" s="55"/>
      <c r="E117" s="58"/>
      <c r="F117" s="151"/>
      <c r="G117" s="253"/>
      <c r="H117" s="26"/>
      <c r="I117" s="232"/>
      <c r="J117" s="152"/>
    </row>
    <row r="118" spans="1:10" x14ac:dyDescent="0.2">
      <c r="A118" s="150"/>
      <c r="B118" s="373" t="s">
        <v>10</v>
      </c>
      <c r="C118" s="479">
        <v>50000</v>
      </c>
      <c r="D118" s="374" t="s">
        <v>887</v>
      </c>
      <c r="E118" s="479">
        <v>50000</v>
      </c>
      <c r="F118" s="479"/>
      <c r="G118" s="375" t="s">
        <v>993</v>
      </c>
      <c r="H118" s="370" t="s">
        <v>809</v>
      </c>
      <c r="I118" s="512"/>
      <c r="J118" s="377" t="s">
        <v>883</v>
      </c>
    </row>
    <row r="119" spans="1:10" x14ac:dyDescent="0.2">
      <c r="A119" s="472"/>
      <c r="B119" s="256" t="s">
        <v>532</v>
      </c>
      <c r="C119" s="476">
        <v>30000</v>
      </c>
      <c r="D119" s="257" t="s">
        <v>905</v>
      </c>
      <c r="E119" s="476">
        <v>9564.26</v>
      </c>
      <c r="F119" s="476">
        <f>C119-E119</f>
        <v>20435.739999999998</v>
      </c>
      <c r="G119" s="258" t="s">
        <v>906</v>
      </c>
      <c r="H119" s="145" t="s">
        <v>809</v>
      </c>
      <c r="I119" s="506"/>
      <c r="J119" s="144" t="s">
        <v>883</v>
      </c>
    </row>
    <row r="120" spans="1:10" x14ac:dyDescent="0.2">
      <c r="A120" s="472"/>
      <c r="B120" s="256"/>
      <c r="C120" s="476"/>
      <c r="D120" s="257"/>
      <c r="E120" s="476">
        <v>20435.740000000002</v>
      </c>
      <c r="F120" s="476">
        <v>-20435.740000000002</v>
      </c>
      <c r="G120" s="258" t="s">
        <v>918</v>
      </c>
      <c r="H120" s="203" t="s">
        <v>809</v>
      </c>
      <c r="I120" s="203"/>
      <c r="J120" s="144"/>
    </row>
    <row r="121" spans="1:10" x14ac:dyDescent="0.2">
      <c r="A121" s="472"/>
      <c r="B121" s="256" t="s">
        <v>532</v>
      </c>
      <c r="C121" s="476">
        <v>44000</v>
      </c>
      <c r="D121" s="257" t="s">
        <v>913</v>
      </c>
      <c r="E121" s="476">
        <v>44000</v>
      </c>
      <c r="F121" s="476">
        <v>0</v>
      </c>
      <c r="G121" s="258" t="s">
        <v>918</v>
      </c>
      <c r="H121" s="256" t="s">
        <v>809</v>
      </c>
      <c r="I121" s="274"/>
      <c r="J121" s="144" t="s">
        <v>908</v>
      </c>
    </row>
    <row r="122" spans="1:10" x14ac:dyDescent="0.2">
      <c r="A122" s="150"/>
      <c r="B122" s="145"/>
      <c r="C122" s="151"/>
      <c r="D122" s="53"/>
      <c r="E122" s="151"/>
      <c r="F122" s="151"/>
      <c r="G122" s="145"/>
      <c r="H122" s="145"/>
      <c r="I122" s="506"/>
      <c r="J122" s="42"/>
    </row>
    <row r="123" spans="1:10" x14ac:dyDescent="0.2">
      <c r="A123" s="150"/>
      <c r="B123" s="145"/>
      <c r="C123" s="151"/>
      <c r="D123" s="53"/>
      <c r="E123" s="151"/>
      <c r="F123" s="151"/>
      <c r="G123" s="145"/>
      <c r="H123" s="145"/>
      <c r="I123" s="506"/>
      <c r="J123" s="144"/>
    </row>
    <row r="124" spans="1:10" ht="13.5" thickBot="1" x14ac:dyDescent="0.25">
      <c r="A124" s="28" t="s">
        <v>43</v>
      </c>
      <c r="B124" s="29"/>
      <c r="C124" s="56">
        <f>SUM(C117:C123)</f>
        <v>124000</v>
      </c>
      <c r="D124" s="29"/>
      <c r="E124" s="56">
        <f>SUM(E117:E123)</f>
        <v>124000</v>
      </c>
      <c r="F124" s="56">
        <f>SUM(F117:F123)</f>
        <v>-3.637978807091713E-12</v>
      </c>
      <c r="G124" s="29"/>
      <c r="H124" s="29"/>
      <c r="I124" s="511"/>
      <c r="J124" s="30"/>
    </row>
    <row r="126" spans="1:10" ht="13.5" thickBot="1" x14ac:dyDescent="0.25"/>
    <row r="127" spans="1:10" ht="21" thickBot="1" x14ac:dyDescent="0.25">
      <c r="A127" s="550" t="s">
        <v>797</v>
      </c>
      <c r="B127" s="551"/>
      <c r="C127" s="551"/>
      <c r="D127" s="551"/>
      <c r="E127" s="551"/>
      <c r="F127" s="551"/>
      <c r="G127" s="551"/>
      <c r="H127" s="551"/>
      <c r="I127" s="551"/>
      <c r="J127" s="552"/>
    </row>
    <row r="128" spans="1:10" ht="20.25" x14ac:dyDescent="0.3">
      <c r="A128" s="39"/>
      <c r="B128" s="13" t="s">
        <v>780</v>
      </c>
      <c r="C128" s="13" t="s">
        <v>781</v>
      </c>
      <c r="D128" s="13" t="s">
        <v>782</v>
      </c>
      <c r="E128" s="14"/>
      <c r="F128" s="14"/>
      <c r="G128" s="13"/>
      <c r="H128" s="13"/>
      <c r="I128" s="13"/>
      <c r="J128" s="37"/>
    </row>
    <row r="129" spans="1:10" ht="20.25" x14ac:dyDescent="0.3">
      <c r="A129" s="39" t="s">
        <v>57</v>
      </c>
      <c r="B129" s="205">
        <v>101125</v>
      </c>
      <c r="C129" s="205">
        <f>C158+(0.03*C158)</f>
        <v>79482.776526000001</v>
      </c>
      <c r="D129" s="205">
        <v>143750</v>
      </c>
      <c r="E129" s="14"/>
      <c r="F129" s="14"/>
      <c r="G129" s="13"/>
      <c r="H129" s="13"/>
      <c r="I129" s="13"/>
      <c r="J129" s="37"/>
    </row>
    <row r="130" spans="1:10" ht="20.25" x14ac:dyDescent="0.3">
      <c r="A130" s="39" t="s">
        <v>36</v>
      </c>
      <c r="B130" s="206">
        <f>IF(B163&gt;B129, B129,B163)</f>
        <v>0</v>
      </c>
      <c r="C130" s="206">
        <f>IF(C163&gt;C129,C129,C163)</f>
        <v>77680.614199999996</v>
      </c>
      <c r="D130" s="206">
        <f>IF(D163&gt;D129,D129,D163)</f>
        <v>30928</v>
      </c>
      <c r="E130" s="14"/>
      <c r="F130" s="14"/>
      <c r="G130" s="13"/>
      <c r="H130" s="13"/>
      <c r="I130" s="13"/>
      <c r="J130" s="37"/>
    </row>
    <row r="131" spans="1:10" ht="20.25" x14ac:dyDescent="0.3">
      <c r="A131" s="39" t="s">
        <v>785</v>
      </c>
      <c r="B131" s="88">
        <f>SUM(B129:B130)</f>
        <v>101125</v>
      </c>
      <c r="C131" s="88">
        <f>SUM(C129:C130)</f>
        <v>157163.39072600001</v>
      </c>
      <c r="D131" s="88">
        <f>SUM(D129:D130)</f>
        <v>174678</v>
      </c>
      <c r="E131" s="125" t="s">
        <v>107</v>
      </c>
      <c r="F131" s="14"/>
      <c r="G131" s="13"/>
      <c r="H131" s="13"/>
      <c r="I131" s="13"/>
      <c r="J131" s="37"/>
    </row>
    <row r="132" spans="1:10" x14ac:dyDescent="0.2">
      <c r="A132" s="39" t="s">
        <v>47</v>
      </c>
      <c r="B132" s="88">
        <f>B163</f>
        <v>0</v>
      </c>
      <c r="C132" s="88">
        <f>IF(C164&gt;C158,C158,C164)</f>
        <v>77167.744200000001</v>
      </c>
      <c r="D132" s="88">
        <f>IF(D164&gt;D158,D158,D164)</f>
        <v>26390</v>
      </c>
      <c r="E132" s="553"/>
      <c r="F132" s="553"/>
      <c r="G132" s="553"/>
      <c r="H132" s="13"/>
      <c r="I132" s="13"/>
      <c r="J132" s="37"/>
    </row>
    <row r="133" spans="1:10" ht="20.25" x14ac:dyDescent="0.3">
      <c r="A133" s="39" t="s">
        <v>479</v>
      </c>
      <c r="B133" s="88">
        <f>B129+B132</f>
        <v>101125</v>
      </c>
      <c r="C133" s="88">
        <f>C129+C132</f>
        <v>156650.52072600002</v>
      </c>
      <c r="D133" s="88">
        <f>D129+D132</f>
        <v>170140</v>
      </c>
      <c r="E133" s="146" t="s">
        <v>108</v>
      </c>
      <c r="F133" s="14"/>
      <c r="G133" s="13"/>
      <c r="H133" s="13"/>
      <c r="I133" s="13"/>
      <c r="J133" s="37"/>
    </row>
    <row r="134" spans="1:10" ht="20.25" x14ac:dyDescent="0.3">
      <c r="A134" s="39" t="s">
        <v>39</v>
      </c>
      <c r="B134" s="88">
        <f>B131-E138</f>
        <v>0</v>
      </c>
      <c r="C134" s="88">
        <f>C131-E142</f>
        <v>115468.46072600002</v>
      </c>
      <c r="D134" s="88">
        <f>D131-E154</f>
        <v>10011</v>
      </c>
      <c r="E134" s="146" t="s">
        <v>109</v>
      </c>
      <c r="F134" s="14"/>
      <c r="G134" s="13"/>
      <c r="H134" s="13"/>
      <c r="I134" s="13"/>
      <c r="J134" s="37"/>
    </row>
    <row r="135" spans="1:10" ht="13.5" thickBot="1" x14ac:dyDescent="0.25">
      <c r="A135" s="39" t="s">
        <v>132</v>
      </c>
      <c r="B135" s="89">
        <f>B133-E138-F138</f>
        <v>0</v>
      </c>
      <c r="C135" s="89">
        <f>C133-E142-F142</f>
        <v>114955.59072600002</v>
      </c>
      <c r="D135" s="90">
        <f>D133-E154-F154</f>
        <v>5473</v>
      </c>
      <c r="E135" s="554" t="s">
        <v>110</v>
      </c>
      <c r="F135" s="554"/>
      <c r="G135" s="554"/>
      <c r="H135" s="554"/>
      <c r="I135" s="146"/>
      <c r="J135" s="141"/>
    </row>
    <row r="136" spans="1:10" ht="51" x14ac:dyDescent="0.2">
      <c r="A136" s="19" t="s">
        <v>41</v>
      </c>
      <c r="B136" s="20" t="s">
        <v>34</v>
      </c>
      <c r="C136" s="20" t="s">
        <v>64</v>
      </c>
      <c r="D136" s="20" t="s">
        <v>63</v>
      </c>
      <c r="E136" s="20" t="s">
        <v>37</v>
      </c>
      <c r="F136" s="20" t="s">
        <v>48</v>
      </c>
      <c r="G136" s="20" t="s">
        <v>40</v>
      </c>
      <c r="H136" s="20" t="s">
        <v>38</v>
      </c>
      <c r="I136" s="20"/>
      <c r="J136" s="21" t="s">
        <v>5</v>
      </c>
    </row>
    <row r="137" spans="1:10" x14ac:dyDescent="0.2">
      <c r="A137" s="22" t="s">
        <v>10</v>
      </c>
      <c r="B137" s="23" t="s">
        <v>10</v>
      </c>
      <c r="C137" s="57">
        <v>101125</v>
      </c>
      <c r="D137" s="50" t="s">
        <v>798</v>
      </c>
      <c r="E137" s="57">
        <f>C137</f>
        <v>101125</v>
      </c>
      <c r="F137" s="57">
        <f>IF(E137="",C137,0)</f>
        <v>0</v>
      </c>
      <c r="G137" s="23" t="s">
        <v>798</v>
      </c>
      <c r="H137" s="23" t="s">
        <v>487</v>
      </c>
      <c r="I137" s="503"/>
      <c r="J137" s="24"/>
    </row>
    <row r="138" spans="1:10" x14ac:dyDescent="0.2">
      <c r="A138" s="25" t="s">
        <v>43</v>
      </c>
      <c r="B138" s="26"/>
      <c r="C138" s="60">
        <f>C137</f>
        <v>101125</v>
      </c>
      <c r="D138" s="26"/>
      <c r="E138" s="60">
        <f>E137</f>
        <v>101125</v>
      </c>
      <c r="F138" s="60">
        <f>F137</f>
        <v>0</v>
      </c>
      <c r="G138" s="26"/>
      <c r="H138" s="26"/>
      <c r="I138" s="505"/>
      <c r="J138" s="27"/>
    </row>
    <row r="139" spans="1:10" x14ac:dyDescent="0.2">
      <c r="A139" s="33"/>
      <c r="B139" s="33"/>
      <c r="C139" s="59"/>
      <c r="D139" s="33"/>
      <c r="E139" s="59"/>
      <c r="F139" s="59"/>
      <c r="G139" s="33"/>
      <c r="H139" s="33"/>
      <c r="I139" s="33"/>
      <c r="J139" s="33"/>
    </row>
    <row r="140" spans="1:10" x14ac:dyDescent="0.2">
      <c r="A140" s="25" t="s">
        <v>44</v>
      </c>
      <c r="B140" s="26" t="s">
        <v>567</v>
      </c>
      <c r="C140" s="58">
        <v>21754.11</v>
      </c>
      <c r="D140" s="55">
        <v>44292</v>
      </c>
      <c r="E140" s="58">
        <v>21754.11</v>
      </c>
      <c r="F140" s="58">
        <f>C140-E140</f>
        <v>0</v>
      </c>
      <c r="G140" s="51" t="s">
        <v>822</v>
      </c>
      <c r="H140" s="26" t="s">
        <v>487</v>
      </c>
      <c r="I140" s="505"/>
      <c r="J140" s="43"/>
    </row>
    <row r="141" spans="1:10" x14ac:dyDescent="0.2">
      <c r="A141" s="25"/>
      <c r="B141" s="26"/>
      <c r="C141" s="261">
        <v>19940.82</v>
      </c>
      <c r="D141" s="55" t="s">
        <v>832</v>
      </c>
      <c r="E141" s="261">
        <v>19940.82</v>
      </c>
      <c r="F141" s="58">
        <v>0</v>
      </c>
      <c r="G141" s="51" t="s">
        <v>841</v>
      </c>
      <c r="H141" s="26" t="s">
        <v>487</v>
      </c>
      <c r="I141" s="505"/>
      <c r="J141" s="43"/>
    </row>
    <row r="142" spans="1:10" x14ac:dyDescent="0.2">
      <c r="A142" s="25" t="s">
        <v>43</v>
      </c>
      <c r="B142" s="26"/>
      <c r="C142" s="60">
        <f>C140+C141</f>
        <v>41694.93</v>
      </c>
      <c r="D142" s="26"/>
      <c r="E142" s="60">
        <f>E140+E141</f>
        <v>41694.93</v>
      </c>
      <c r="F142" s="60">
        <f>SUM(F140:F141)</f>
        <v>0</v>
      </c>
      <c r="G142" s="26"/>
      <c r="H142" s="26"/>
      <c r="I142" s="505"/>
      <c r="J142" s="27"/>
    </row>
    <row r="143" spans="1:10" x14ac:dyDescent="0.2">
      <c r="A143" s="33"/>
      <c r="B143" s="33"/>
      <c r="C143" s="59"/>
      <c r="D143" s="33"/>
      <c r="E143" s="59"/>
      <c r="F143" s="59"/>
      <c r="G143" s="469"/>
      <c r="H143" s="469"/>
      <c r="I143" s="469"/>
      <c r="J143" s="33"/>
    </row>
    <row r="144" spans="1:10" x14ac:dyDescent="0.2">
      <c r="A144" s="25" t="s">
        <v>42</v>
      </c>
      <c r="B144" s="26"/>
      <c r="C144" s="58"/>
      <c r="D144" s="55"/>
      <c r="E144" s="58"/>
      <c r="F144" s="151"/>
      <c r="G144" s="26"/>
      <c r="H144" s="26"/>
      <c r="I144" s="232"/>
      <c r="J144" s="152"/>
    </row>
    <row r="145" spans="1:10" x14ac:dyDescent="0.2">
      <c r="A145" s="150"/>
      <c r="B145" s="251" t="s">
        <v>10</v>
      </c>
      <c r="C145" s="471">
        <v>20000</v>
      </c>
      <c r="D145" s="252" t="s">
        <v>805</v>
      </c>
      <c r="E145" s="470">
        <v>19135</v>
      </c>
      <c r="F145" s="151">
        <f>C145-E145</f>
        <v>865</v>
      </c>
      <c r="G145" s="170" t="s">
        <v>843</v>
      </c>
      <c r="H145" s="173" t="s">
        <v>803</v>
      </c>
      <c r="I145" s="513"/>
      <c r="J145" s="250"/>
    </row>
    <row r="146" spans="1:10" x14ac:dyDescent="0.2">
      <c r="A146" s="472"/>
      <c r="B146" s="274"/>
      <c r="C146" s="246"/>
      <c r="D146" s="245"/>
      <c r="E146" s="246"/>
      <c r="F146" s="246">
        <v>-865</v>
      </c>
      <c r="G146" s="276"/>
      <c r="H146" s="274"/>
      <c r="I146" s="274"/>
      <c r="J146" s="277" t="s">
        <v>99</v>
      </c>
    </row>
    <row r="147" spans="1:10" x14ac:dyDescent="0.2">
      <c r="A147" s="472"/>
      <c r="B147" s="256" t="s">
        <v>532</v>
      </c>
      <c r="C147" s="476">
        <v>30000</v>
      </c>
      <c r="D147" s="257" t="s">
        <v>806</v>
      </c>
      <c r="E147" s="476">
        <v>30000</v>
      </c>
      <c r="F147" s="476">
        <f>C147-E147</f>
        <v>0</v>
      </c>
      <c r="G147" s="258" t="s">
        <v>828</v>
      </c>
      <c r="H147" s="256" t="s">
        <v>803</v>
      </c>
      <c r="I147" s="514"/>
      <c r="J147" s="259" t="s">
        <v>100</v>
      </c>
    </row>
    <row r="148" spans="1:10" x14ac:dyDescent="0.2">
      <c r="A148" s="472"/>
      <c r="B148" s="373" t="s">
        <v>10</v>
      </c>
      <c r="C148" s="479">
        <v>41250</v>
      </c>
      <c r="D148" s="374" t="s">
        <v>814</v>
      </c>
      <c r="E148" s="479">
        <f>33476+7774</f>
        <v>41250</v>
      </c>
      <c r="F148" s="479"/>
      <c r="G148" s="375" t="s">
        <v>994</v>
      </c>
      <c r="H148" s="373" t="s">
        <v>809</v>
      </c>
      <c r="I148" s="515"/>
      <c r="J148" s="376" t="s">
        <v>884</v>
      </c>
    </row>
    <row r="149" spans="1:10" x14ac:dyDescent="0.2">
      <c r="A149" s="478"/>
      <c r="B149" s="347" t="s">
        <v>10</v>
      </c>
      <c r="C149" s="477">
        <v>10000</v>
      </c>
      <c r="D149" s="348" t="s">
        <v>815</v>
      </c>
      <c r="E149" s="477">
        <v>9282</v>
      </c>
      <c r="F149" s="477">
        <f>10000-E149</f>
        <v>718</v>
      </c>
      <c r="G149" s="347" t="s">
        <v>1010</v>
      </c>
      <c r="H149" s="347" t="s">
        <v>810</v>
      </c>
      <c r="I149" s="516"/>
      <c r="J149" s="349"/>
    </row>
    <row r="150" spans="1:10" x14ac:dyDescent="0.2">
      <c r="A150" s="478"/>
      <c r="B150" s="347"/>
      <c r="C150" s="477"/>
      <c r="D150" s="348"/>
      <c r="E150" s="477"/>
      <c r="F150" s="477">
        <v>-718</v>
      </c>
      <c r="G150" s="347"/>
      <c r="H150" s="347"/>
      <c r="I150" s="516"/>
      <c r="J150" s="350" t="s">
        <v>99</v>
      </c>
    </row>
    <row r="151" spans="1:10" x14ac:dyDescent="0.2">
      <c r="A151" s="150"/>
      <c r="B151" s="145" t="s">
        <v>10</v>
      </c>
      <c r="C151" s="151">
        <v>10000</v>
      </c>
      <c r="D151" s="53" t="s">
        <v>817</v>
      </c>
      <c r="E151" s="151">
        <v>10000</v>
      </c>
      <c r="F151" s="151">
        <v>0</v>
      </c>
      <c r="G151" s="145" t="s">
        <v>848</v>
      </c>
      <c r="H151" s="145" t="s">
        <v>816</v>
      </c>
      <c r="I151" s="506"/>
      <c r="J151" s="42"/>
    </row>
    <row r="152" spans="1:10" x14ac:dyDescent="0.2">
      <c r="A152" s="150"/>
      <c r="B152" s="145" t="s">
        <v>532</v>
      </c>
      <c r="C152" s="151">
        <v>15000</v>
      </c>
      <c r="D152" s="53" t="s">
        <v>820</v>
      </c>
      <c r="E152" s="151">
        <v>15000</v>
      </c>
      <c r="F152" s="151">
        <f>C152-E152</f>
        <v>0</v>
      </c>
      <c r="G152" s="145" t="s">
        <v>831</v>
      </c>
      <c r="H152" s="145" t="s">
        <v>816</v>
      </c>
      <c r="I152" s="506"/>
      <c r="J152" s="42" t="s">
        <v>100</v>
      </c>
    </row>
    <row r="153" spans="1:10" x14ac:dyDescent="0.2">
      <c r="A153" s="150"/>
      <c r="B153" s="145" t="s">
        <v>532</v>
      </c>
      <c r="C153" s="151">
        <f>40000</f>
        <v>40000</v>
      </c>
      <c r="D153" s="53" t="s">
        <v>819</v>
      </c>
      <c r="E153" s="151">
        <f>40000</f>
        <v>40000</v>
      </c>
      <c r="F153" s="151"/>
      <c r="G153" s="145" t="s">
        <v>906</v>
      </c>
      <c r="H153" s="145" t="s">
        <v>809</v>
      </c>
      <c r="I153" s="506"/>
      <c r="J153" s="144" t="s">
        <v>884</v>
      </c>
    </row>
    <row r="154" spans="1:10" ht="13.5" thickBot="1" x14ac:dyDescent="0.25">
      <c r="A154" s="28" t="s">
        <v>43</v>
      </c>
      <c r="B154" s="29"/>
      <c r="C154" s="56">
        <f>SUM(C144:C153)</f>
        <v>166250</v>
      </c>
      <c r="D154" s="29"/>
      <c r="E154" s="56">
        <f>SUM(E144:E153)</f>
        <v>164667</v>
      </c>
      <c r="F154" s="56">
        <f>SUM(F144:F153)</f>
        <v>0</v>
      </c>
      <c r="G154" s="29"/>
      <c r="H154" s="29"/>
      <c r="I154" s="511"/>
      <c r="J154" s="30"/>
    </row>
    <row r="155" spans="1:10" ht="13.5" thickBot="1" x14ac:dyDescent="0.25"/>
    <row r="156" spans="1:10" ht="21" thickBot="1" x14ac:dyDescent="0.25">
      <c r="A156" s="550" t="s">
        <v>696</v>
      </c>
      <c r="B156" s="551"/>
      <c r="C156" s="551"/>
      <c r="D156" s="551"/>
      <c r="E156" s="551"/>
      <c r="F156" s="551"/>
      <c r="G156" s="551"/>
      <c r="H156" s="551"/>
      <c r="I156" s="551"/>
      <c r="J156" s="552"/>
    </row>
    <row r="157" spans="1:10" ht="20.25" x14ac:dyDescent="0.3">
      <c r="A157" s="39"/>
      <c r="B157" s="13" t="s">
        <v>697</v>
      </c>
      <c r="C157" s="13" t="s">
        <v>698</v>
      </c>
      <c r="D157" s="13" t="s">
        <v>699</v>
      </c>
      <c r="E157" s="14"/>
      <c r="F157" s="14"/>
      <c r="G157" s="13"/>
      <c r="H157" s="13"/>
      <c r="I157" s="13"/>
      <c r="J157" s="37"/>
    </row>
    <row r="158" spans="1:10" ht="20.25" x14ac:dyDescent="0.3">
      <c r="A158" s="39" t="s">
        <v>57</v>
      </c>
      <c r="B158" s="205">
        <f>101125</f>
        <v>101125</v>
      </c>
      <c r="C158" s="205">
        <f>74920.14*1.03</f>
        <v>77167.744200000001</v>
      </c>
      <c r="D158" s="205">
        <v>143750</v>
      </c>
      <c r="E158" s="14"/>
      <c r="F158" s="14"/>
      <c r="G158" s="13"/>
      <c r="H158" s="13"/>
      <c r="I158" s="13"/>
      <c r="J158" s="37"/>
    </row>
    <row r="159" spans="1:10" ht="20.25" x14ac:dyDescent="0.3">
      <c r="A159" s="39" t="s">
        <v>36</v>
      </c>
      <c r="B159" s="206">
        <f>IF(B200&gt;101125,101125,B200)</f>
        <v>0</v>
      </c>
      <c r="C159" s="206">
        <f>IF(C200&gt;74920.14,74920.14,C200)</f>
        <v>74920.14</v>
      </c>
      <c r="D159" s="206">
        <f>IF(D200&gt;143750,143750,D200)</f>
        <v>19581.999999999985</v>
      </c>
      <c r="E159" s="14"/>
      <c r="F159" s="14"/>
      <c r="G159" s="13"/>
      <c r="H159" s="13"/>
      <c r="I159" s="13"/>
      <c r="J159" s="37"/>
    </row>
    <row r="160" spans="1:10" ht="20.25" x14ac:dyDescent="0.3">
      <c r="A160" s="39" t="s">
        <v>702</v>
      </c>
      <c r="B160" s="88">
        <f>SUM(B158:B159)</f>
        <v>101125</v>
      </c>
      <c r="C160" s="88">
        <f>SUM(C158:C159)</f>
        <v>152087.8842</v>
      </c>
      <c r="D160" s="88">
        <f>SUM(D158:D159)</f>
        <v>163332</v>
      </c>
      <c r="E160" s="125" t="s">
        <v>107</v>
      </c>
      <c r="F160" s="14"/>
      <c r="G160" s="13"/>
      <c r="H160" s="13"/>
      <c r="I160" s="13"/>
      <c r="J160" s="37"/>
    </row>
    <row r="161" spans="1:10" x14ac:dyDescent="0.2">
      <c r="A161" s="39" t="s">
        <v>47</v>
      </c>
      <c r="B161" s="88">
        <f>B200</f>
        <v>0</v>
      </c>
      <c r="C161" s="88">
        <f>IF(C201&gt;74920.14, 74920.14,C201)</f>
        <v>74920.14</v>
      </c>
      <c r="D161" s="88">
        <f>IF(D200&gt;143750, 143750, D200)</f>
        <v>19581.999999999985</v>
      </c>
      <c r="E161" s="553"/>
      <c r="F161" s="553"/>
      <c r="G161" s="553"/>
      <c r="H161" s="13"/>
      <c r="I161" s="13"/>
      <c r="J161" s="37"/>
    </row>
    <row r="162" spans="1:10" ht="20.25" x14ac:dyDescent="0.3">
      <c r="A162" s="39" t="s">
        <v>479</v>
      </c>
      <c r="B162" s="88">
        <f>B158+B161</f>
        <v>101125</v>
      </c>
      <c r="C162" s="88">
        <f>C158+C161</f>
        <v>152087.8842</v>
      </c>
      <c r="D162" s="88">
        <f>D158+D161</f>
        <v>163332</v>
      </c>
      <c r="E162" s="146" t="s">
        <v>108</v>
      </c>
      <c r="F162" s="14"/>
      <c r="G162" s="13"/>
      <c r="H162" s="13"/>
      <c r="I162" s="13"/>
      <c r="J162" s="37"/>
    </row>
    <row r="163" spans="1:10" ht="20.25" x14ac:dyDescent="0.3">
      <c r="A163" s="39" t="s">
        <v>39</v>
      </c>
      <c r="B163" s="88">
        <f>B160-E168</f>
        <v>0</v>
      </c>
      <c r="C163" s="88">
        <f>C160-E172</f>
        <v>77680.614199999996</v>
      </c>
      <c r="D163" s="88">
        <f>D160-E191</f>
        <v>30928</v>
      </c>
      <c r="E163" s="146" t="s">
        <v>109</v>
      </c>
      <c r="F163" s="14"/>
      <c r="G163" s="13"/>
      <c r="H163" s="13"/>
      <c r="I163" s="13"/>
      <c r="J163" s="37"/>
    </row>
    <row r="164" spans="1:10" x14ac:dyDescent="0.2">
      <c r="A164" s="39" t="s">
        <v>132</v>
      </c>
      <c r="B164" s="89">
        <f>B162-E168-F168</f>
        <v>0</v>
      </c>
      <c r="C164" s="89">
        <f>C162-E172-F172</f>
        <v>77680.614199999996</v>
      </c>
      <c r="D164" s="90">
        <f>D162-E191-F191</f>
        <v>26390</v>
      </c>
      <c r="E164" s="554" t="s">
        <v>110</v>
      </c>
      <c r="F164" s="554"/>
      <c r="G164" s="554"/>
      <c r="H164" s="554"/>
      <c r="I164" s="146"/>
      <c r="J164" s="141"/>
    </row>
    <row r="165" spans="1:10" ht="21" thickBot="1" x14ac:dyDescent="0.35">
      <c r="A165" s="39"/>
      <c r="B165" s="13"/>
      <c r="C165" s="13"/>
      <c r="D165" s="13"/>
      <c r="E165" s="14"/>
      <c r="F165" s="14"/>
      <c r="G165" s="13"/>
      <c r="H165" s="13"/>
      <c r="I165" s="13"/>
      <c r="J165" s="37"/>
    </row>
    <row r="166" spans="1:10" ht="51" x14ac:dyDescent="0.2">
      <c r="A166" s="19" t="s">
        <v>41</v>
      </c>
      <c r="B166" s="20" t="s">
        <v>34</v>
      </c>
      <c r="C166" s="20" t="s">
        <v>64</v>
      </c>
      <c r="D166" s="20" t="s">
        <v>63</v>
      </c>
      <c r="E166" s="20" t="s">
        <v>37</v>
      </c>
      <c r="F166" s="20" t="s">
        <v>48</v>
      </c>
      <c r="G166" s="20" t="s">
        <v>40</v>
      </c>
      <c r="H166" s="20" t="s">
        <v>38</v>
      </c>
      <c r="I166" s="20"/>
      <c r="J166" s="21" t="s">
        <v>5</v>
      </c>
    </row>
    <row r="167" spans="1:10" x14ac:dyDescent="0.2">
      <c r="A167" s="22" t="s">
        <v>10</v>
      </c>
      <c r="B167" s="23" t="s">
        <v>10</v>
      </c>
      <c r="C167" s="57">
        <v>101125</v>
      </c>
      <c r="D167" s="50">
        <v>43832</v>
      </c>
      <c r="E167" s="57">
        <f>C167</f>
        <v>101125</v>
      </c>
      <c r="F167" s="57">
        <f>IF(E167="",C167,0)</f>
        <v>0</v>
      </c>
      <c r="G167" s="23" t="s">
        <v>708</v>
      </c>
      <c r="H167" s="23" t="s">
        <v>487</v>
      </c>
      <c r="I167" s="503"/>
      <c r="J167" s="24"/>
    </row>
    <row r="168" spans="1:10" x14ac:dyDescent="0.2">
      <c r="A168" s="25" t="s">
        <v>43</v>
      </c>
      <c r="B168" s="26"/>
      <c r="C168" s="60">
        <f>C167</f>
        <v>101125</v>
      </c>
      <c r="D168" s="26"/>
      <c r="E168" s="60">
        <f>E167</f>
        <v>101125</v>
      </c>
      <c r="F168" s="60">
        <f>F167</f>
        <v>0</v>
      </c>
      <c r="G168" s="26"/>
      <c r="H168" s="26"/>
      <c r="I168" s="505"/>
      <c r="J168" s="27"/>
    </row>
    <row r="169" spans="1:10" x14ac:dyDescent="0.2">
      <c r="A169" s="33"/>
      <c r="B169" s="33"/>
      <c r="C169" s="59"/>
      <c r="D169" s="33"/>
      <c r="E169" s="59"/>
      <c r="F169" s="59"/>
      <c r="G169" s="33"/>
      <c r="H169" s="33"/>
      <c r="I169" s="33"/>
      <c r="J169" s="33"/>
    </row>
    <row r="170" spans="1:10" x14ac:dyDescent="0.2">
      <c r="A170" s="25" t="s">
        <v>44</v>
      </c>
      <c r="B170" s="26" t="s">
        <v>567</v>
      </c>
      <c r="C170" s="58">
        <v>48976.800000000003</v>
      </c>
      <c r="D170" s="55">
        <v>43921</v>
      </c>
      <c r="E170" s="58">
        <v>48976.800000000003</v>
      </c>
      <c r="F170" s="58">
        <f>C170-E170</f>
        <v>0</v>
      </c>
      <c r="G170" s="51" t="s">
        <v>738</v>
      </c>
      <c r="H170" s="26" t="s">
        <v>604</v>
      </c>
      <c r="I170" s="505"/>
      <c r="J170" s="43"/>
    </row>
    <row r="171" spans="1:10" x14ac:dyDescent="0.2">
      <c r="A171" s="25"/>
      <c r="B171" s="26"/>
      <c r="C171" s="261">
        <v>25430.47</v>
      </c>
      <c r="D171" s="55">
        <v>44105</v>
      </c>
      <c r="E171" s="261">
        <v>25430.47</v>
      </c>
      <c r="F171" s="58"/>
      <c r="G171" s="51"/>
      <c r="H171" s="26"/>
      <c r="I171" s="505"/>
      <c r="J171" s="43"/>
    </row>
    <row r="172" spans="1:10" x14ac:dyDescent="0.2">
      <c r="A172" s="25" t="s">
        <v>43</v>
      </c>
      <c r="B172" s="26"/>
      <c r="C172" s="60">
        <f>C170+C171</f>
        <v>74407.27</v>
      </c>
      <c r="D172" s="26"/>
      <c r="E172" s="60">
        <f>E170+E171</f>
        <v>74407.27</v>
      </c>
      <c r="F172" s="60">
        <f>F170</f>
        <v>0</v>
      </c>
      <c r="G172" s="26"/>
      <c r="H172" s="26"/>
      <c r="I172" s="505"/>
      <c r="J172" s="27"/>
    </row>
    <row r="173" spans="1:10" x14ac:dyDescent="0.2">
      <c r="A173" s="33"/>
      <c r="B173" s="33"/>
      <c r="C173" s="59"/>
      <c r="D173" s="33"/>
      <c r="E173" s="59"/>
      <c r="F173" s="59"/>
      <c r="G173" s="469"/>
      <c r="H173" s="469"/>
      <c r="I173" s="469"/>
      <c r="J173" s="33"/>
    </row>
    <row r="174" spans="1:10" x14ac:dyDescent="0.2">
      <c r="A174" s="25" t="s">
        <v>42</v>
      </c>
      <c r="B174" s="26"/>
      <c r="C174" s="58"/>
      <c r="D174" s="55"/>
      <c r="E174" s="58"/>
      <c r="F174" s="151"/>
      <c r="G174" s="26"/>
      <c r="H174" s="26"/>
      <c r="I174" s="232"/>
      <c r="J174" s="152"/>
    </row>
    <row r="175" spans="1:10" x14ac:dyDescent="0.2">
      <c r="A175" s="150"/>
      <c r="B175" s="251" t="s">
        <v>567</v>
      </c>
      <c r="C175" s="471">
        <v>20000</v>
      </c>
      <c r="D175" s="252" t="s">
        <v>731</v>
      </c>
      <c r="E175" s="470">
        <v>20000</v>
      </c>
      <c r="F175" s="151">
        <f>C175-E175</f>
        <v>0</v>
      </c>
      <c r="G175" s="170" t="s">
        <v>773</v>
      </c>
      <c r="H175" s="272" t="s">
        <v>688</v>
      </c>
      <c r="I175" s="517"/>
      <c r="J175" s="250"/>
    </row>
    <row r="176" spans="1:10" x14ac:dyDescent="0.2">
      <c r="A176" s="472"/>
      <c r="B176" s="256"/>
      <c r="C176" s="476">
        <v>9700.4</v>
      </c>
      <c r="D176" s="257" t="s">
        <v>765</v>
      </c>
      <c r="E176" s="476">
        <v>2285.85</v>
      </c>
      <c r="F176" s="476">
        <v>0</v>
      </c>
      <c r="G176" s="258" t="s">
        <v>773</v>
      </c>
      <c r="H176" s="273" t="s">
        <v>688</v>
      </c>
      <c r="I176" s="518"/>
      <c r="J176" s="259" t="s">
        <v>763</v>
      </c>
    </row>
    <row r="177" spans="1:10" x14ac:dyDescent="0.2">
      <c r="A177" s="472"/>
      <c r="B177" s="256"/>
      <c r="C177" s="476"/>
      <c r="D177" s="257"/>
      <c r="E177" s="476">
        <v>7414.55</v>
      </c>
      <c r="F177" s="476">
        <v>0</v>
      </c>
      <c r="G177" s="258" t="s">
        <v>839</v>
      </c>
      <c r="H177" s="256" t="s">
        <v>688</v>
      </c>
      <c r="I177" s="519"/>
      <c r="J177" s="260"/>
    </row>
    <row r="178" spans="1:10" x14ac:dyDescent="0.2">
      <c r="A178" s="150"/>
      <c r="B178" s="253" t="s">
        <v>567</v>
      </c>
      <c r="C178" s="475">
        <v>30000</v>
      </c>
      <c r="D178" s="231" t="s">
        <v>717</v>
      </c>
      <c r="E178" s="475">
        <v>30000</v>
      </c>
      <c r="F178" s="475">
        <v>0</v>
      </c>
      <c r="G178" s="253" t="s">
        <v>757</v>
      </c>
      <c r="H178" s="253" t="s">
        <v>716</v>
      </c>
      <c r="I178" s="520"/>
      <c r="J178" s="255"/>
    </row>
    <row r="179" spans="1:10" x14ac:dyDescent="0.2">
      <c r="A179" s="150"/>
      <c r="B179" s="145" t="s">
        <v>10</v>
      </c>
      <c r="C179" s="151">
        <v>30000</v>
      </c>
      <c r="D179" s="53" t="s">
        <v>720</v>
      </c>
      <c r="E179" s="151">
        <v>16482</v>
      </c>
      <c r="F179" s="151">
        <f>C179-E179</f>
        <v>13518</v>
      </c>
      <c r="G179" s="145" t="s">
        <v>754</v>
      </c>
      <c r="H179" s="145" t="s">
        <v>716</v>
      </c>
      <c r="I179" s="506"/>
      <c r="J179" s="42"/>
    </row>
    <row r="180" spans="1:10" x14ac:dyDescent="0.2">
      <c r="A180" s="150"/>
      <c r="B180" s="145"/>
      <c r="C180" s="151"/>
      <c r="D180" s="53"/>
      <c r="E180" s="151">
        <v>13518</v>
      </c>
      <c r="F180" s="151">
        <v>-13518</v>
      </c>
      <c r="G180" s="145" t="s">
        <v>794</v>
      </c>
      <c r="H180" s="145"/>
      <c r="I180" s="506"/>
      <c r="J180" s="42"/>
    </row>
    <row r="181" spans="1:10" x14ac:dyDescent="0.2">
      <c r="A181" s="150"/>
      <c r="B181" s="370" t="s">
        <v>10</v>
      </c>
      <c r="C181" s="474">
        <v>12500</v>
      </c>
      <c r="D181" s="371" t="s">
        <v>727</v>
      </c>
      <c r="E181" s="474">
        <v>7962</v>
      </c>
      <c r="F181" s="474">
        <f>C181-E181</f>
        <v>4538</v>
      </c>
      <c r="G181" s="370" t="s">
        <v>795</v>
      </c>
      <c r="H181" s="370" t="s">
        <v>688</v>
      </c>
      <c r="I181" s="512"/>
      <c r="J181" s="372" t="s">
        <v>188</v>
      </c>
    </row>
    <row r="182" spans="1:10" x14ac:dyDescent="0.2">
      <c r="A182" s="150"/>
      <c r="B182" s="145" t="s">
        <v>10</v>
      </c>
      <c r="C182" s="151">
        <v>7000</v>
      </c>
      <c r="D182" s="53" t="s">
        <v>726</v>
      </c>
      <c r="E182" s="151">
        <v>3481</v>
      </c>
      <c r="F182" s="151">
        <f>C182-E182</f>
        <v>3519</v>
      </c>
      <c r="G182" s="145" t="s">
        <v>796</v>
      </c>
      <c r="H182" s="145" t="s">
        <v>719</v>
      </c>
      <c r="I182" s="506"/>
      <c r="J182" s="42" t="s">
        <v>100</v>
      </c>
    </row>
    <row r="183" spans="1:10" x14ac:dyDescent="0.2">
      <c r="A183" s="150"/>
      <c r="B183" s="145"/>
      <c r="C183" s="151"/>
      <c r="D183" s="53"/>
      <c r="E183" s="151"/>
      <c r="F183" s="151">
        <v>-3519</v>
      </c>
      <c r="G183" s="145"/>
      <c r="H183" s="145"/>
      <c r="I183" s="506"/>
      <c r="J183" s="42"/>
    </row>
    <row r="184" spans="1:10" x14ac:dyDescent="0.2">
      <c r="A184" s="150"/>
      <c r="B184" s="145" t="s">
        <v>567</v>
      </c>
      <c r="C184" s="151">
        <v>30000</v>
      </c>
      <c r="D184" s="167" t="s">
        <v>743</v>
      </c>
      <c r="E184" s="151">
        <v>20299.599999999999</v>
      </c>
      <c r="F184" s="151">
        <f>C184-E184</f>
        <v>9700.4000000000015</v>
      </c>
      <c r="G184" s="145" t="s">
        <v>764</v>
      </c>
      <c r="H184" s="145" t="s">
        <v>742</v>
      </c>
      <c r="I184" s="506"/>
      <c r="J184" s="144"/>
    </row>
    <row r="185" spans="1:10" x14ac:dyDescent="0.2">
      <c r="A185" s="150"/>
      <c r="B185" s="145"/>
      <c r="C185" s="151"/>
      <c r="D185" s="167"/>
      <c r="E185" s="151"/>
      <c r="F185" s="151">
        <v>-9700.4</v>
      </c>
      <c r="G185" s="145" t="s">
        <v>764</v>
      </c>
      <c r="H185" s="145" t="s">
        <v>742</v>
      </c>
      <c r="I185" s="506"/>
      <c r="J185" s="271" t="s">
        <v>762</v>
      </c>
    </row>
    <row r="186" spans="1:10" x14ac:dyDescent="0.2">
      <c r="A186" s="150"/>
      <c r="B186" s="26" t="s">
        <v>10</v>
      </c>
      <c r="C186" s="151">
        <v>11000</v>
      </c>
      <c r="D186" s="55" t="s">
        <v>776</v>
      </c>
      <c r="E186" s="151">
        <v>10961</v>
      </c>
      <c r="F186" s="58">
        <f>11000-10961</f>
        <v>39</v>
      </c>
      <c r="G186" s="26" t="s">
        <v>779</v>
      </c>
      <c r="H186" s="26" t="s">
        <v>742</v>
      </c>
      <c r="I186" s="505"/>
      <c r="J186" s="27" t="s">
        <v>100</v>
      </c>
    </row>
    <row r="187" spans="1:10" x14ac:dyDescent="0.2">
      <c r="A187" s="150"/>
      <c r="B187" s="145"/>
      <c r="C187" s="151"/>
      <c r="D187" s="55"/>
      <c r="E187" s="151"/>
      <c r="F187" s="151">
        <v>-39</v>
      </c>
      <c r="G187" s="145"/>
      <c r="H187" s="26"/>
      <c r="I187" s="506"/>
      <c r="J187" s="42" t="s">
        <v>67</v>
      </c>
    </row>
    <row r="188" spans="1:10" x14ac:dyDescent="0.2">
      <c r="A188" s="150"/>
      <c r="B188" s="227"/>
      <c r="C188" s="151"/>
      <c r="D188" s="234"/>
      <c r="E188" s="151"/>
      <c r="F188" s="473"/>
      <c r="G188" s="199"/>
      <c r="H188" s="226"/>
      <c r="I188" s="274"/>
      <c r="J188" s="220"/>
    </row>
    <row r="189" spans="1:10" x14ac:dyDescent="0.2">
      <c r="A189" s="472"/>
      <c r="B189" s="199"/>
      <c r="C189" s="471"/>
      <c r="D189" s="200"/>
      <c r="E189" s="470"/>
      <c r="F189" s="151"/>
      <c r="G189" s="166"/>
      <c r="H189" s="176"/>
      <c r="I189" s="521"/>
      <c r="J189" s="230"/>
    </row>
    <row r="190" spans="1:10" x14ac:dyDescent="0.2">
      <c r="A190" s="150"/>
      <c r="B190" s="196"/>
      <c r="C190" s="151"/>
      <c r="D190" s="193"/>
      <c r="E190" s="151"/>
      <c r="F190" s="151"/>
      <c r="G190" s="180"/>
      <c r="H190" s="173"/>
      <c r="I190" s="522"/>
      <c r="J190" s="179"/>
    </row>
    <row r="191" spans="1:10" ht="13.5" thickBot="1" x14ac:dyDescent="0.25">
      <c r="A191" s="28" t="s">
        <v>43</v>
      </c>
      <c r="B191" s="29"/>
      <c r="C191" s="56">
        <f>SUM(C174:C190)</f>
        <v>150200.4</v>
      </c>
      <c r="D191" s="29"/>
      <c r="E191" s="56">
        <f>SUM(E174:E190)</f>
        <v>132404</v>
      </c>
      <c r="F191" s="56">
        <f>SUM(F174:F190)</f>
        <v>4538.0000000000018</v>
      </c>
      <c r="G191" s="29"/>
      <c r="H191" s="29"/>
      <c r="I191" s="511"/>
      <c r="J191" s="30"/>
    </row>
    <row r="192" spans="1:10" ht="13.5" thickBot="1" x14ac:dyDescent="0.25"/>
    <row r="193" spans="1:10" ht="21" thickBot="1" x14ac:dyDescent="0.25">
      <c r="A193" s="550" t="s">
        <v>599</v>
      </c>
      <c r="B193" s="551"/>
      <c r="C193" s="551"/>
      <c r="D193" s="551"/>
      <c r="E193" s="551"/>
      <c r="F193" s="551"/>
      <c r="G193" s="551"/>
      <c r="H193" s="551"/>
      <c r="I193" s="551"/>
      <c r="J193" s="552"/>
    </row>
    <row r="194" spans="1:10" ht="20.25" x14ac:dyDescent="0.3">
      <c r="A194" s="39"/>
      <c r="B194" s="13" t="s">
        <v>600</v>
      </c>
      <c r="C194" s="13" t="s">
        <v>601</v>
      </c>
      <c r="D194" s="13" t="s">
        <v>602</v>
      </c>
      <c r="E194" s="14"/>
      <c r="F194" s="14"/>
      <c r="G194" s="13"/>
      <c r="H194" s="13"/>
      <c r="I194" s="13"/>
      <c r="J194" s="37"/>
    </row>
    <row r="195" spans="1:10" ht="20.25" x14ac:dyDescent="0.3">
      <c r="A195" s="39" t="s">
        <v>57</v>
      </c>
      <c r="B195" s="205">
        <v>101125</v>
      </c>
      <c r="C195" s="205">
        <f>C227*1.03</f>
        <v>74920.14</v>
      </c>
      <c r="D195" s="205">
        <v>143750</v>
      </c>
      <c r="E195" s="14"/>
      <c r="F195" s="14"/>
      <c r="G195" s="13"/>
      <c r="H195" s="13"/>
      <c r="I195" s="13"/>
      <c r="J195" s="37"/>
    </row>
    <row r="196" spans="1:10" ht="20.25" x14ac:dyDescent="0.3">
      <c r="A196" s="39" t="s">
        <v>36</v>
      </c>
      <c r="B196" s="206">
        <f>IF(B232&gt;66125,66125,B232)</f>
        <v>0</v>
      </c>
      <c r="C196" s="206">
        <f>IF(C232&gt;72738,72738,C232)</f>
        <v>70177.55</v>
      </c>
      <c r="D196" s="206">
        <f>IF(D232&gt;143750,143750,D232)</f>
        <v>1372.8799999999756</v>
      </c>
      <c r="E196" s="14"/>
      <c r="F196" s="14"/>
      <c r="G196" s="13"/>
      <c r="H196" s="13"/>
      <c r="I196" s="13"/>
      <c r="J196" s="37"/>
    </row>
    <row r="197" spans="1:10" ht="20.25" x14ac:dyDescent="0.3">
      <c r="A197" s="39" t="s">
        <v>603</v>
      </c>
      <c r="B197" s="88">
        <f>SUM(B195:B196)</f>
        <v>101125</v>
      </c>
      <c r="C197" s="88">
        <f>SUM(C195:C196)</f>
        <v>145097.69</v>
      </c>
      <c r="D197" s="88">
        <f>SUM(D195:D196)</f>
        <v>145122.87999999998</v>
      </c>
      <c r="E197" s="125" t="s">
        <v>107</v>
      </c>
      <c r="F197" s="14"/>
      <c r="G197" s="13"/>
      <c r="H197" s="13"/>
      <c r="I197" s="13"/>
      <c r="J197" s="37"/>
    </row>
    <row r="198" spans="1:10" x14ac:dyDescent="0.2">
      <c r="A198" s="39" t="s">
        <v>47</v>
      </c>
      <c r="B198" s="88">
        <f>B233</f>
        <v>0</v>
      </c>
      <c r="C198" s="88">
        <f>IF(C233&gt;72738, 72738,C233)</f>
        <v>70177.55</v>
      </c>
      <c r="D198" s="88">
        <f>IF(D233&gt;143750, 143750, D233)</f>
        <v>1372.8799999999756</v>
      </c>
      <c r="E198" s="553"/>
      <c r="F198" s="553"/>
      <c r="G198" s="553"/>
      <c r="H198" s="13"/>
      <c r="I198" s="13"/>
      <c r="J198" s="37"/>
    </row>
    <row r="199" spans="1:10" ht="20.25" x14ac:dyDescent="0.3">
      <c r="A199" s="39" t="s">
        <v>479</v>
      </c>
      <c r="B199" s="88">
        <f>B195+B198</f>
        <v>101125</v>
      </c>
      <c r="C199" s="88">
        <f>C195+C198</f>
        <v>145097.69</v>
      </c>
      <c r="D199" s="88">
        <f>D195+D198</f>
        <v>145122.87999999998</v>
      </c>
      <c r="E199" s="146" t="s">
        <v>108</v>
      </c>
      <c r="F199" s="14"/>
      <c r="G199" s="13"/>
      <c r="H199" s="13"/>
      <c r="I199" s="13"/>
      <c r="J199" s="37"/>
    </row>
    <row r="200" spans="1:10" ht="20.25" x14ac:dyDescent="0.3">
      <c r="A200" s="39" t="s">
        <v>39</v>
      </c>
      <c r="B200" s="88">
        <f>B197-E205</f>
        <v>0</v>
      </c>
      <c r="C200" s="88">
        <f>C197-E208</f>
        <v>111710.07</v>
      </c>
      <c r="D200" s="88">
        <f>D197-E223</f>
        <v>19581.999999999985</v>
      </c>
      <c r="E200" s="146" t="s">
        <v>109</v>
      </c>
      <c r="F200" s="14"/>
      <c r="G200" s="13"/>
      <c r="H200" s="13"/>
      <c r="I200" s="13"/>
      <c r="J200" s="37"/>
    </row>
    <row r="201" spans="1:10" x14ac:dyDescent="0.2">
      <c r="A201" s="39" t="s">
        <v>132</v>
      </c>
      <c r="B201" s="89">
        <f>B199-E205-F205</f>
        <v>0</v>
      </c>
      <c r="C201" s="89">
        <f>C199-E208-F208</f>
        <v>102002.63</v>
      </c>
      <c r="D201" s="90">
        <f>D199-E223-F223</f>
        <v>19581.999999999985</v>
      </c>
      <c r="E201" s="554" t="s">
        <v>110</v>
      </c>
      <c r="F201" s="554"/>
      <c r="G201" s="554"/>
      <c r="H201" s="554"/>
      <c r="I201" s="146"/>
      <c r="J201" s="141"/>
    </row>
    <row r="202" spans="1:10" ht="21" thickBot="1" x14ac:dyDescent="0.35">
      <c r="A202" s="39"/>
      <c r="B202" s="13"/>
      <c r="C202" s="13"/>
      <c r="D202" s="13"/>
      <c r="E202" s="14"/>
      <c r="F202" s="14"/>
      <c r="G202" s="13"/>
      <c r="H202" s="13"/>
      <c r="I202" s="13"/>
      <c r="J202" s="37"/>
    </row>
    <row r="203" spans="1:10" ht="51" x14ac:dyDescent="0.2">
      <c r="A203" s="19" t="s">
        <v>41</v>
      </c>
      <c r="B203" s="20" t="s">
        <v>34</v>
      </c>
      <c r="C203" s="20" t="s">
        <v>64</v>
      </c>
      <c r="D203" s="20" t="s">
        <v>63</v>
      </c>
      <c r="E203" s="20" t="s">
        <v>37</v>
      </c>
      <c r="F203" s="20" t="s">
        <v>48</v>
      </c>
      <c r="G203" s="20" t="s">
        <v>40</v>
      </c>
      <c r="H203" s="20" t="s">
        <v>38</v>
      </c>
      <c r="I203" s="20"/>
      <c r="J203" s="21" t="s">
        <v>5</v>
      </c>
    </row>
    <row r="204" spans="1:10" x14ac:dyDescent="0.2">
      <c r="A204" s="22" t="s">
        <v>10</v>
      </c>
      <c r="B204" s="23" t="s">
        <v>10</v>
      </c>
      <c r="C204" s="57">
        <v>101125</v>
      </c>
      <c r="D204" s="50">
        <v>43467</v>
      </c>
      <c r="E204" s="57">
        <f>C204</f>
        <v>101125</v>
      </c>
      <c r="F204" s="57">
        <f>IF(E204="",C204,0)</f>
        <v>0</v>
      </c>
      <c r="G204" s="23" t="s">
        <v>623</v>
      </c>
      <c r="H204" s="23" t="s">
        <v>487</v>
      </c>
      <c r="I204" s="503"/>
      <c r="J204" s="24"/>
    </row>
    <row r="205" spans="1:10" x14ac:dyDescent="0.2">
      <c r="A205" s="25" t="s">
        <v>43</v>
      </c>
      <c r="B205" s="26"/>
      <c r="C205" s="60">
        <f>C204</f>
        <v>101125</v>
      </c>
      <c r="D205" s="26"/>
      <c r="E205" s="60">
        <f>E204</f>
        <v>101125</v>
      </c>
      <c r="F205" s="60">
        <f>F204</f>
        <v>0</v>
      </c>
      <c r="G205" s="26"/>
      <c r="H205" s="26"/>
      <c r="I205" s="505"/>
      <c r="J205" s="27"/>
    </row>
    <row r="206" spans="1:10" x14ac:dyDescent="0.2">
      <c r="A206" s="33"/>
      <c r="B206" s="33"/>
      <c r="C206" s="59"/>
      <c r="D206" s="33"/>
      <c r="E206" s="59"/>
      <c r="F206" s="59"/>
      <c r="G206" s="33"/>
      <c r="H206" s="33"/>
      <c r="I206" s="33"/>
      <c r="J206" s="33"/>
    </row>
    <row r="207" spans="1:10" x14ac:dyDescent="0.2">
      <c r="A207" s="25" t="s">
        <v>44</v>
      </c>
      <c r="B207" s="26" t="s">
        <v>567</v>
      </c>
      <c r="C207" s="58">
        <v>43095.06</v>
      </c>
      <c r="D207" s="55" t="s">
        <v>638</v>
      </c>
      <c r="E207" s="58">
        <v>33387.620000000003</v>
      </c>
      <c r="F207" s="58">
        <f>C207-E207</f>
        <v>9707.4399999999951</v>
      </c>
      <c r="G207" s="51" t="s">
        <v>674</v>
      </c>
      <c r="H207" s="26" t="s">
        <v>604</v>
      </c>
      <c r="I207" s="505"/>
      <c r="J207" s="43"/>
    </row>
    <row r="208" spans="1:10" x14ac:dyDescent="0.2">
      <c r="A208" s="25" t="s">
        <v>43</v>
      </c>
      <c r="B208" s="26"/>
      <c r="C208" s="60">
        <f>C207</f>
        <v>43095.06</v>
      </c>
      <c r="D208" s="26"/>
      <c r="E208" s="60">
        <f>E207</f>
        <v>33387.620000000003</v>
      </c>
      <c r="F208" s="60">
        <f>F207</f>
        <v>9707.4399999999951</v>
      </c>
      <c r="G208" s="26"/>
      <c r="H208" s="26"/>
      <c r="I208" s="505"/>
      <c r="J208" s="27"/>
    </row>
    <row r="209" spans="1:10" x14ac:dyDescent="0.2">
      <c r="A209" s="33"/>
      <c r="B209" s="33"/>
      <c r="C209" s="59"/>
      <c r="D209" s="33"/>
      <c r="E209" s="59"/>
      <c r="F209" s="59"/>
      <c r="G209" s="469"/>
      <c r="H209" s="469"/>
      <c r="I209" s="469"/>
      <c r="J209" s="33"/>
    </row>
    <row r="210" spans="1:10" x14ac:dyDescent="0.2">
      <c r="A210" s="25" t="s">
        <v>42</v>
      </c>
      <c r="B210" s="26"/>
      <c r="C210" s="58"/>
      <c r="D210" s="55"/>
      <c r="E210" s="58"/>
      <c r="F210" s="151"/>
      <c r="G210" s="26"/>
      <c r="H210" s="26"/>
      <c r="I210" s="232"/>
      <c r="J210" s="152"/>
    </row>
    <row r="211" spans="1:10" x14ac:dyDescent="0.2">
      <c r="A211" s="150"/>
      <c r="B211" s="145" t="s">
        <v>567</v>
      </c>
      <c r="C211" s="151">
        <v>50000</v>
      </c>
      <c r="D211" s="53" t="s">
        <v>635</v>
      </c>
      <c r="E211" s="151">
        <v>33492.449999999997</v>
      </c>
      <c r="F211" s="151">
        <f>C211-E211</f>
        <v>16507.550000000003</v>
      </c>
      <c r="G211" s="145" t="s">
        <v>679</v>
      </c>
      <c r="H211" s="145" t="s">
        <v>633</v>
      </c>
      <c r="I211" s="506"/>
      <c r="J211" s="42" t="s">
        <v>100</v>
      </c>
    </row>
    <row r="212" spans="1:10" x14ac:dyDescent="0.2">
      <c r="A212" s="150"/>
      <c r="B212" s="145"/>
      <c r="C212" s="151"/>
      <c r="D212" s="53"/>
      <c r="E212" s="151"/>
      <c r="F212" s="151">
        <v>-16507.55</v>
      </c>
      <c r="G212" s="145"/>
      <c r="H212" s="145"/>
      <c r="I212" s="506"/>
      <c r="J212" s="42" t="s">
        <v>99</v>
      </c>
    </row>
    <row r="213" spans="1:10" x14ac:dyDescent="0.2">
      <c r="A213" s="150"/>
      <c r="B213" s="145" t="s">
        <v>567</v>
      </c>
      <c r="C213" s="151">
        <f>22000+6507.55</f>
        <v>28507.55</v>
      </c>
      <c r="D213" s="53" t="s">
        <v>677</v>
      </c>
      <c r="E213" s="151">
        <v>20507.55</v>
      </c>
      <c r="F213" s="151"/>
      <c r="G213" s="239" t="s">
        <v>692</v>
      </c>
      <c r="H213" s="145" t="s">
        <v>634</v>
      </c>
      <c r="I213" s="506"/>
      <c r="J213" s="42" t="s">
        <v>100</v>
      </c>
    </row>
    <row r="214" spans="1:10" x14ac:dyDescent="0.2">
      <c r="A214" s="150"/>
      <c r="B214" s="145" t="s">
        <v>10</v>
      </c>
      <c r="C214" s="151">
        <v>24000</v>
      </c>
      <c r="D214" s="53" t="s">
        <v>644</v>
      </c>
      <c r="E214" s="151">
        <v>12418</v>
      </c>
      <c r="F214" s="151">
        <f>24000-E214</f>
        <v>11582</v>
      </c>
      <c r="G214" s="145" t="s">
        <v>670</v>
      </c>
      <c r="H214" s="145" t="s">
        <v>633</v>
      </c>
      <c r="I214" s="506"/>
      <c r="J214" s="42" t="s">
        <v>100</v>
      </c>
    </row>
    <row r="215" spans="1:10" x14ac:dyDescent="0.2">
      <c r="A215" s="150"/>
      <c r="B215" s="145"/>
      <c r="C215" s="151"/>
      <c r="D215" s="53"/>
      <c r="E215" s="151"/>
      <c r="F215" s="151">
        <v>-11582</v>
      </c>
      <c r="G215" s="145"/>
      <c r="H215" s="145"/>
      <c r="I215" s="506"/>
      <c r="J215" s="42" t="s">
        <v>99</v>
      </c>
    </row>
    <row r="216" spans="1:10" x14ac:dyDescent="0.2">
      <c r="A216" s="150"/>
      <c r="B216" s="145" t="s">
        <v>10</v>
      </c>
      <c r="C216" s="151">
        <v>20000</v>
      </c>
      <c r="D216" s="167" t="s">
        <v>653</v>
      </c>
      <c r="E216" s="151">
        <v>14071</v>
      </c>
      <c r="F216" s="151"/>
      <c r="G216" s="145" t="s">
        <v>667</v>
      </c>
      <c r="H216" s="145" t="s">
        <v>634</v>
      </c>
      <c r="I216" s="506"/>
      <c r="J216" s="144" t="s">
        <v>189</v>
      </c>
    </row>
    <row r="217" spans="1:10" x14ac:dyDescent="0.2">
      <c r="A217" s="150"/>
      <c r="B217" s="145"/>
      <c r="C217" s="151"/>
      <c r="D217" s="167"/>
      <c r="E217" s="151">
        <v>5929</v>
      </c>
      <c r="F217" s="151"/>
      <c r="G217" s="239" t="s">
        <v>712</v>
      </c>
      <c r="H217" s="145"/>
      <c r="I217" s="506"/>
      <c r="J217" s="144" t="s">
        <v>100</v>
      </c>
    </row>
    <row r="218" spans="1:10" x14ac:dyDescent="0.2">
      <c r="A218" s="150"/>
      <c r="B218" s="26" t="s">
        <v>10</v>
      </c>
      <c r="C218" s="151">
        <v>29122.880000000001</v>
      </c>
      <c r="D218" s="53" t="s">
        <v>656</v>
      </c>
      <c r="E218" s="151">
        <v>22436.46</v>
      </c>
      <c r="F218" s="151"/>
      <c r="G218" s="145" t="s">
        <v>668</v>
      </c>
      <c r="H218" s="26" t="s">
        <v>655</v>
      </c>
      <c r="I218" s="506"/>
      <c r="J218" s="42" t="s">
        <v>189</v>
      </c>
    </row>
    <row r="219" spans="1:10" x14ac:dyDescent="0.2">
      <c r="A219" s="150"/>
      <c r="B219" s="145"/>
      <c r="C219" s="151"/>
      <c r="D219" s="231"/>
      <c r="E219" s="151">
        <v>6686.42</v>
      </c>
      <c r="F219" s="473"/>
      <c r="G219" s="241" t="s">
        <v>711</v>
      </c>
      <c r="H219" s="232"/>
      <c r="I219" s="203"/>
      <c r="J219" s="233" t="s">
        <v>100</v>
      </c>
    </row>
    <row r="220" spans="1:10" x14ac:dyDescent="0.2">
      <c r="A220" s="150"/>
      <c r="B220" s="227" t="s">
        <v>567</v>
      </c>
      <c r="C220" s="151">
        <v>10000</v>
      </c>
      <c r="D220" s="194" t="s">
        <v>678</v>
      </c>
      <c r="E220" s="151">
        <v>10000</v>
      </c>
      <c r="F220" s="473"/>
      <c r="G220" s="199" t="s">
        <v>690</v>
      </c>
      <c r="H220" s="226" t="s">
        <v>655</v>
      </c>
      <c r="I220" s="274"/>
      <c r="J220" s="220"/>
    </row>
    <row r="221" spans="1:10" x14ac:dyDescent="0.2">
      <c r="A221" s="472"/>
      <c r="B221" s="235"/>
      <c r="C221" s="236"/>
      <c r="D221" s="236"/>
      <c r="E221" s="236"/>
      <c r="F221" s="236"/>
      <c r="G221" s="236"/>
      <c r="H221" s="236"/>
      <c r="I221" s="237"/>
      <c r="J221" s="237"/>
    </row>
    <row r="222" spans="1:10" x14ac:dyDescent="0.2">
      <c r="A222" s="150"/>
      <c r="B222" s="176"/>
      <c r="C222" s="58"/>
      <c r="D222" s="118"/>
      <c r="E222" s="58"/>
      <c r="F222" s="58"/>
      <c r="G222" s="163"/>
      <c r="H222" s="176"/>
      <c r="I222" s="523"/>
      <c r="J222" s="177"/>
    </row>
    <row r="223" spans="1:10" ht="13.5" thickBot="1" x14ac:dyDescent="0.25">
      <c r="A223" s="28" t="s">
        <v>43</v>
      </c>
      <c r="B223" s="29"/>
      <c r="C223" s="56">
        <f>SUM(C210:C222)</f>
        <v>161630.43</v>
      </c>
      <c r="D223" s="29"/>
      <c r="E223" s="56">
        <f>SUM(E210:E222)</f>
        <v>125540.87999999999</v>
      </c>
      <c r="F223" s="56">
        <f>SUM(F210:F222)</f>
        <v>0</v>
      </c>
      <c r="G223" s="29"/>
      <c r="H223" s="29"/>
      <c r="I223" s="511"/>
      <c r="J223" s="30"/>
    </row>
    <row r="224" spans="1:10" ht="13.5" thickBot="1" x14ac:dyDescent="0.25"/>
    <row r="225" spans="1:10" ht="21" thickBot="1" x14ac:dyDescent="0.25">
      <c r="A225" s="550" t="s">
        <v>471</v>
      </c>
      <c r="B225" s="551"/>
      <c r="C225" s="551"/>
      <c r="D225" s="551"/>
      <c r="E225" s="551"/>
      <c r="F225" s="551"/>
      <c r="G225" s="551"/>
      <c r="H225" s="551"/>
      <c r="I225" s="551"/>
      <c r="J225" s="552"/>
    </row>
    <row r="226" spans="1:10" ht="20.25" x14ac:dyDescent="0.3">
      <c r="A226" s="39"/>
      <c r="B226" s="13" t="s">
        <v>472</v>
      </c>
      <c r="C226" s="13" t="s">
        <v>473</v>
      </c>
      <c r="D226" s="13" t="s">
        <v>474</v>
      </c>
      <c r="E226" s="14"/>
      <c r="F226" s="14"/>
      <c r="G226" s="13"/>
      <c r="H226" s="13"/>
      <c r="I226" s="13"/>
      <c r="J226" s="37"/>
    </row>
    <row r="227" spans="1:10" ht="20.25" x14ac:dyDescent="0.3">
      <c r="A227" s="39" t="s">
        <v>57</v>
      </c>
      <c r="B227" s="205">
        <v>101125</v>
      </c>
      <c r="C227" s="205">
        <v>72738</v>
      </c>
      <c r="D227" s="205">
        <v>143750</v>
      </c>
      <c r="E227" s="14"/>
      <c r="F227" s="14"/>
      <c r="G227" s="13"/>
      <c r="H227" s="13"/>
      <c r="I227" s="13"/>
      <c r="J227" s="37"/>
    </row>
    <row r="228" spans="1:10" ht="20.25" x14ac:dyDescent="0.3">
      <c r="A228" s="39" t="s">
        <v>36</v>
      </c>
      <c r="B228" s="206">
        <f>IF(B261&gt;66125,66125,B261)</f>
        <v>0</v>
      </c>
      <c r="C228" s="206">
        <f>IF(C261&gt;66125,66125,C261)</f>
        <v>66125</v>
      </c>
      <c r="D228" s="206">
        <f>IF(D261&gt;143750,143750,D261)</f>
        <v>5536.8299999999872</v>
      </c>
      <c r="E228" s="14"/>
      <c r="F228" s="14"/>
      <c r="G228" s="13"/>
      <c r="H228" s="13"/>
      <c r="I228" s="13"/>
      <c r="J228" s="37"/>
    </row>
    <row r="229" spans="1:10" ht="20.25" x14ac:dyDescent="0.3">
      <c r="A229" s="39" t="s">
        <v>475</v>
      </c>
      <c r="B229" s="88">
        <f>SUM(B227:B228)</f>
        <v>101125</v>
      </c>
      <c r="C229" s="88">
        <f>SUM(C227:C228)</f>
        <v>138863</v>
      </c>
      <c r="D229" s="88">
        <f>SUM(D227:D228)</f>
        <v>149286.82999999999</v>
      </c>
      <c r="E229" s="125" t="s">
        <v>107</v>
      </c>
      <c r="F229" s="14"/>
      <c r="G229" s="13"/>
      <c r="H229" s="13"/>
      <c r="I229" s="13"/>
      <c r="J229" s="37"/>
    </row>
    <row r="230" spans="1:10" x14ac:dyDescent="0.2">
      <c r="A230" s="39" t="s">
        <v>47</v>
      </c>
      <c r="B230" s="88">
        <f>B262</f>
        <v>0</v>
      </c>
      <c r="C230" s="88">
        <f>IF(C262&gt;66125, 66125,C262)</f>
        <v>66125</v>
      </c>
      <c r="D230" s="88">
        <f>IF(D262&gt;143750, 143750, D262)</f>
        <v>5536.8299999999872</v>
      </c>
      <c r="E230" s="553"/>
      <c r="F230" s="553"/>
      <c r="G230" s="553"/>
      <c r="H230" s="13"/>
      <c r="I230" s="13"/>
      <c r="J230" s="37"/>
    </row>
    <row r="231" spans="1:10" ht="20.25" x14ac:dyDescent="0.3">
      <c r="A231" s="39" t="s">
        <v>479</v>
      </c>
      <c r="B231" s="88">
        <f>B227+B230</f>
        <v>101125</v>
      </c>
      <c r="C231" s="88">
        <f>C227+C230</f>
        <v>138863</v>
      </c>
      <c r="D231" s="88">
        <f>D227+D230</f>
        <v>149286.82999999999</v>
      </c>
      <c r="E231" s="146" t="s">
        <v>108</v>
      </c>
      <c r="F231" s="14"/>
      <c r="G231" s="13"/>
      <c r="H231" s="13"/>
      <c r="I231" s="13"/>
      <c r="J231" s="37"/>
    </row>
    <row r="232" spans="1:10" ht="20.25" x14ac:dyDescent="0.3">
      <c r="A232" s="39" t="s">
        <v>39</v>
      </c>
      <c r="B232" s="88">
        <f>B229-E237</f>
        <v>0</v>
      </c>
      <c r="C232" s="88">
        <f>C229-E240</f>
        <v>70177.55</v>
      </c>
      <c r="D232" s="88">
        <f>D229-E252</f>
        <v>1372.8799999999756</v>
      </c>
      <c r="E232" s="146" t="s">
        <v>109</v>
      </c>
      <c r="F232" s="14"/>
      <c r="G232" s="13"/>
      <c r="H232" s="13"/>
      <c r="I232" s="13"/>
      <c r="J232" s="37"/>
    </row>
    <row r="233" spans="1:10" x14ac:dyDescent="0.2">
      <c r="A233" s="39" t="s">
        <v>132</v>
      </c>
      <c r="B233" s="89">
        <f>B231-E237-F237</f>
        <v>0</v>
      </c>
      <c r="C233" s="89">
        <f>C231-E240-F240</f>
        <v>70177.55</v>
      </c>
      <c r="D233" s="90">
        <f>D231-E252-F252</f>
        <v>1372.8799999999756</v>
      </c>
      <c r="E233" s="554" t="s">
        <v>110</v>
      </c>
      <c r="F233" s="555"/>
      <c r="G233" s="555"/>
      <c r="H233" s="555"/>
      <c r="I233" s="140"/>
      <c r="J233" s="141"/>
    </row>
    <row r="234" spans="1:10" ht="21" thickBot="1" x14ac:dyDescent="0.35">
      <c r="A234" s="39"/>
      <c r="B234" s="13"/>
      <c r="C234" s="13"/>
      <c r="D234" s="13"/>
      <c r="E234" s="14"/>
      <c r="F234" s="14"/>
      <c r="G234" s="13"/>
      <c r="H234" s="13"/>
      <c r="I234" s="13"/>
      <c r="J234" s="37"/>
    </row>
    <row r="235" spans="1:10" ht="51" x14ac:dyDescent="0.2">
      <c r="A235" s="19" t="s">
        <v>41</v>
      </c>
      <c r="B235" s="20" t="s">
        <v>34</v>
      </c>
      <c r="C235" s="20" t="s">
        <v>64</v>
      </c>
      <c r="D235" s="20" t="s">
        <v>63</v>
      </c>
      <c r="E235" s="20" t="s">
        <v>37</v>
      </c>
      <c r="F235" s="20" t="s">
        <v>48</v>
      </c>
      <c r="G235" s="20" t="s">
        <v>40</v>
      </c>
      <c r="H235" s="20" t="s">
        <v>38</v>
      </c>
      <c r="I235" s="20"/>
      <c r="J235" s="21" t="s">
        <v>5</v>
      </c>
    </row>
    <row r="236" spans="1:10" x14ac:dyDescent="0.2">
      <c r="A236" s="22" t="s">
        <v>10</v>
      </c>
      <c r="B236" s="23" t="s">
        <v>10</v>
      </c>
      <c r="C236" s="57">
        <v>101125</v>
      </c>
      <c r="D236" s="50"/>
      <c r="E236" s="57">
        <v>101125</v>
      </c>
      <c r="F236" s="57">
        <f>IF(E236="",C236,0)</f>
        <v>0</v>
      </c>
      <c r="G236" s="23" t="s">
        <v>490</v>
      </c>
      <c r="H236" s="23" t="s">
        <v>491</v>
      </c>
      <c r="I236" s="503"/>
      <c r="J236" s="24"/>
    </row>
    <row r="237" spans="1:10" x14ac:dyDescent="0.2">
      <c r="A237" s="25" t="s">
        <v>43</v>
      </c>
      <c r="B237" s="26"/>
      <c r="C237" s="60">
        <f>C236</f>
        <v>101125</v>
      </c>
      <c r="D237" s="26"/>
      <c r="E237" s="60">
        <f>E236</f>
        <v>101125</v>
      </c>
      <c r="F237" s="60">
        <f>F236</f>
        <v>0</v>
      </c>
      <c r="G237" s="26"/>
      <c r="H237" s="26"/>
      <c r="I237" s="505"/>
      <c r="J237" s="27"/>
    </row>
    <row r="238" spans="1:10" x14ac:dyDescent="0.2">
      <c r="A238" s="33"/>
      <c r="B238" s="33"/>
      <c r="C238" s="59"/>
      <c r="D238" s="33"/>
      <c r="E238" s="59"/>
      <c r="F238" s="59"/>
      <c r="G238" s="33"/>
      <c r="H238" s="33"/>
      <c r="I238" s="33"/>
      <c r="J238" s="33"/>
    </row>
    <row r="239" spans="1:10" x14ac:dyDescent="0.2">
      <c r="A239" s="25" t="s">
        <v>44</v>
      </c>
      <c r="B239" s="26" t="s">
        <v>567</v>
      </c>
      <c r="C239" s="58">
        <v>68685.45</v>
      </c>
      <c r="D239" s="55">
        <v>43374</v>
      </c>
      <c r="E239" s="58">
        <v>68685.45</v>
      </c>
      <c r="F239" s="58"/>
      <c r="G239" s="51" t="s">
        <v>582</v>
      </c>
      <c r="H239" s="26" t="s">
        <v>487</v>
      </c>
      <c r="I239" s="505"/>
      <c r="J239" s="43"/>
    </row>
    <row r="240" spans="1:10" x14ac:dyDescent="0.2">
      <c r="A240" s="25" t="s">
        <v>43</v>
      </c>
      <c r="B240" s="26"/>
      <c r="C240" s="60">
        <f>C239</f>
        <v>68685.45</v>
      </c>
      <c r="D240" s="26"/>
      <c r="E240" s="60">
        <f>E239</f>
        <v>68685.45</v>
      </c>
      <c r="F240" s="60">
        <f>F239</f>
        <v>0</v>
      </c>
      <c r="G240" s="26"/>
      <c r="H240" s="26"/>
      <c r="I240" s="505"/>
      <c r="J240" s="27"/>
    </row>
    <row r="241" spans="1:11" x14ac:dyDescent="0.2">
      <c r="A241" s="33"/>
      <c r="B241" s="33"/>
      <c r="C241" s="59"/>
      <c r="D241" s="33"/>
      <c r="E241" s="59"/>
      <c r="F241" s="59"/>
      <c r="G241" s="469"/>
      <c r="H241" s="469"/>
      <c r="I241" s="469"/>
      <c r="J241" s="33"/>
    </row>
    <row r="242" spans="1:11" x14ac:dyDescent="0.2">
      <c r="A242" s="25" t="s">
        <v>42</v>
      </c>
      <c r="B242" s="26"/>
      <c r="C242" s="58"/>
      <c r="D242" s="55"/>
      <c r="E242" s="58"/>
      <c r="F242" s="151"/>
      <c r="G242" s="26"/>
      <c r="H242" s="26"/>
      <c r="I242" s="232"/>
      <c r="J242" s="152" t="s">
        <v>584</v>
      </c>
    </row>
    <row r="243" spans="1:11" x14ac:dyDescent="0.2">
      <c r="A243" s="150"/>
      <c r="B243" s="145" t="s">
        <v>11</v>
      </c>
      <c r="C243" s="151">
        <v>20000</v>
      </c>
      <c r="D243" s="53" t="s">
        <v>510</v>
      </c>
      <c r="E243" s="151">
        <v>20000</v>
      </c>
      <c r="F243" s="151">
        <v>0</v>
      </c>
      <c r="G243" s="145" t="s">
        <v>546</v>
      </c>
      <c r="H243" s="145" t="s">
        <v>508</v>
      </c>
      <c r="I243" s="506"/>
      <c r="J243" s="42"/>
    </row>
    <row r="244" spans="1:11" x14ac:dyDescent="0.2">
      <c r="A244" s="150"/>
      <c r="B244" s="145" t="s">
        <v>552</v>
      </c>
      <c r="C244" s="151">
        <v>50000</v>
      </c>
      <c r="D244" s="53" t="s">
        <v>514</v>
      </c>
      <c r="E244" s="151">
        <v>50000</v>
      </c>
      <c r="F244" s="151">
        <v>0</v>
      </c>
      <c r="G244" s="145" t="s">
        <v>554</v>
      </c>
      <c r="H244" s="145" t="s">
        <v>511</v>
      </c>
      <c r="I244" s="506"/>
      <c r="J244" s="42"/>
    </row>
    <row r="245" spans="1:11" x14ac:dyDescent="0.2">
      <c r="A245" s="150"/>
      <c r="B245" s="145" t="s">
        <v>10</v>
      </c>
      <c r="C245" s="151">
        <v>20000</v>
      </c>
      <c r="D245" s="53" t="s">
        <v>520</v>
      </c>
      <c r="E245" s="151">
        <v>15237</v>
      </c>
      <c r="F245" s="151">
        <f>C245-E245</f>
        <v>4763</v>
      </c>
      <c r="G245" s="187" t="s">
        <v>551</v>
      </c>
      <c r="H245" s="145" t="s">
        <v>508</v>
      </c>
      <c r="I245" s="506"/>
      <c r="J245" s="188" t="s">
        <v>100</v>
      </c>
    </row>
    <row r="246" spans="1:11" x14ac:dyDescent="0.2">
      <c r="A246" s="150"/>
      <c r="B246" s="145"/>
      <c r="C246" s="151"/>
      <c r="D246" s="53"/>
      <c r="E246" s="151"/>
      <c r="F246" s="151">
        <v>-4763</v>
      </c>
      <c r="G246" s="145"/>
      <c r="H246" s="145" t="s">
        <v>508</v>
      </c>
      <c r="I246" s="506"/>
      <c r="J246" s="42" t="s">
        <v>67</v>
      </c>
    </row>
    <row r="247" spans="1:11" x14ac:dyDescent="0.2">
      <c r="A247" s="150"/>
      <c r="B247" s="145" t="s">
        <v>10</v>
      </c>
      <c r="C247" s="151">
        <v>2000</v>
      </c>
      <c r="D247" s="167" t="s">
        <v>523</v>
      </c>
      <c r="E247" s="151">
        <v>2000</v>
      </c>
      <c r="F247" s="151">
        <v>0</v>
      </c>
      <c r="G247" s="145" t="s">
        <v>553</v>
      </c>
      <c r="H247" s="145" t="s">
        <v>518</v>
      </c>
      <c r="I247" s="506"/>
      <c r="J247" s="144"/>
      <c r="K247" s="40"/>
    </row>
    <row r="248" spans="1:11" x14ac:dyDescent="0.2">
      <c r="A248" s="150"/>
      <c r="B248" s="145" t="s">
        <v>10</v>
      </c>
      <c r="C248" s="151">
        <v>51740</v>
      </c>
      <c r="D248" s="53" t="s">
        <v>522</v>
      </c>
      <c r="E248" s="151">
        <v>47425.95</v>
      </c>
      <c r="F248" s="151"/>
      <c r="G248" s="145" t="s">
        <v>557</v>
      </c>
      <c r="H248" s="145" t="s">
        <v>511</v>
      </c>
      <c r="I248" s="506"/>
      <c r="J248" s="42" t="s">
        <v>188</v>
      </c>
      <c r="K248" s="40"/>
    </row>
    <row r="249" spans="1:11" x14ac:dyDescent="0.2">
      <c r="A249" s="150"/>
      <c r="B249" s="172"/>
      <c r="C249" s="151">
        <v>9593</v>
      </c>
      <c r="D249" s="194" t="s">
        <v>581</v>
      </c>
      <c r="E249" s="151"/>
      <c r="F249" s="473"/>
      <c r="G249" s="199"/>
      <c r="H249" s="198" t="s">
        <v>511</v>
      </c>
      <c r="I249" s="274"/>
      <c r="J249" s="220" t="s">
        <v>579</v>
      </c>
    </row>
    <row r="250" spans="1:11" x14ac:dyDescent="0.2">
      <c r="A250" s="472"/>
      <c r="B250" s="199"/>
      <c r="C250" s="471"/>
      <c r="D250" s="200"/>
      <c r="E250" s="470">
        <v>13251</v>
      </c>
      <c r="F250" s="151">
        <v>656.05</v>
      </c>
      <c r="G250" s="166" t="s">
        <v>596</v>
      </c>
      <c r="H250" s="176" t="s">
        <v>511</v>
      </c>
      <c r="I250" s="521"/>
      <c r="J250" s="195" t="s">
        <v>100</v>
      </c>
    </row>
    <row r="251" spans="1:11" x14ac:dyDescent="0.2">
      <c r="A251" s="150"/>
      <c r="B251" s="196"/>
      <c r="C251" s="151"/>
      <c r="D251" s="193"/>
      <c r="E251" s="151"/>
      <c r="F251" s="151">
        <v>-656.05</v>
      </c>
      <c r="G251" s="180"/>
      <c r="H251" s="173" t="s">
        <v>511</v>
      </c>
      <c r="I251" s="522"/>
      <c r="J251" s="179" t="s">
        <v>67</v>
      </c>
    </row>
    <row r="252" spans="1:11" ht="13.5" thickBot="1" x14ac:dyDescent="0.25">
      <c r="A252" s="28" t="s">
        <v>43</v>
      </c>
      <c r="B252" s="29"/>
      <c r="C252" s="56">
        <f>SUM(C242:C251)</f>
        <v>153333</v>
      </c>
      <c r="D252" s="29"/>
      <c r="E252" s="56">
        <f>SUM(E242:E251)</f>
        <v>147913.95000000001</v>
      </c>
      <c r="F252" s="56">
        <f>SUM(F242:F251)</f>
        <v>0</v>
      </c>
      <c r="G252" s="29"/>
      <c r="H252" s="29"/>
      <c r="I252" s="511"/>
      <c r="J252" s="30"/>
    </row>
    <row r="253" spans="1:11" ht="13.5" thickBot="1" x14ac:dyDescent="0.25"/>
    <row r="254" spans="1:11" ht="21" thickBot="1" x14ac:dyDescent="0.25">
      <c r="A254" s="550" t="s">
        <v>321</v>
      </c>
      <c r="B254" s="551"/>
      <c r="C254" s="551"/>
      <c r="D254" s="551"/>
      <c r="E254" s="551"/>
      <c r="F254" s="551"/>
      <c r="G254" s="551"/>
      <c r="H254" s="551"/>
      <c r="I254" s="551"/>
      <c r="J254" s="552"/>
    </row>
    <row r="255" spans="1:11" ht="20.25" x14ac:dyDescent="0.3">
      <c r="A255" s="39"/>
      <c r="B255" s="13" t="s">
        <v>322</v>
      </c>
      <c r="C255" s="13" t="s">
        <v>323</v>
      </c>
      <c r="D255" s="13" t="s">
        <v>324</v>
      </c>
      <c r="E255" s="14"/>
      <c r="F255" s="14"/>
      <c r="G255" s="13"/>
      <c r="H255" s="13"/>
      <c r="I255" s="13"/>
      <c r="J255" s="37"/>
    </row>
    <row r="256" spans="1:11" ht="20.25" x14ac:dyDescent="0.3">
      <c r="A256" s="39" t="s">
        <v>57</v>
      </c>
      <c r="B256" s="88">
        <v>66125</v>
      </c>
      <c r="C256" s="88">
        <v>66125</v>
      </c>
      <c r="D256" s="88">
        <v>143750</v>
      </c>
      <c r="E256" s="14"/>
      <c r="F256" s="14"/>
      <c r="G256" s="13"/>
      <c r="H256" s="13"/>
      <c r="I256" s="13"/>
      <c r="J256" s="37"/>
    </row>
    <row r="257" spans="1:10" ht="20.25" x14ac:dyDescent="0.3">
      <c r="A257" s="39" t="s">
        <v>36</v>
      </c>
      <c r="B257" s="88">
        <f>IF(B292&gt;66125,66125,B292)</f>
        <v>0</v>
      </c>
      <c r="C257" s="88">
        <f>IF(C292&gt;66125,66125,C292)</f>
        <v>66125</v>
      </c>
      <c r="D257" s="88">
        <f>IF(D292&gt;143750,143750,D292)</f>
        <v>14813.179999999993</v>
      </c>
      <c r="E257" s="14"/>
      <c r="F257" s="14"/>
      <c r="G257" s="13"/>
      <c r="H257" s="13"/>
      <c r="I257" s="13"/>
      <c r="J257" s="37"/>
    </row>
    <row r="258" spans="1:10" ht="20.25" x14ac:dyDescent="0.3">
      <c r="A258" s="39" t="s">
        <v>325</v>
      </c>
      <c r="B258" s="88">
        <f>SUM(B256:B257)</f>
        <v>66125</v>
      </c>
      <c r="C258" s="88">
        <f>SUM(C256:C257)</f>
        <v>132250</v>
      </c>
      <c r="D258" s="88">
        <f>SUM(D256:D257)</f>
        <v>158563.18</v>
      </c>
      <c r="E258" s="125" t="s">
        <v>107</v>
      </c>
      <c r="F258" s="14"/>
      <c r="G258" s="13"/>
      <c r="H258" s="13"/>
      <c r="I258" s="13"/>
      <c r="J258" s="37"/>
    </row>
    <row r="259" spans="1:10" x14ac:dyDescent="0.2">
      <c r="A259" s="39" t="s">
        <v>47</v>
      </c>
      <c r="B259" s="88">
        <f>B293</f>
        <v>0</v>
      </c>
      <c r="C259" s="88">
        <f>IF(C293&gt;66125, 66125,C293)</f>
        <v>66125</v>
      </c>
      <c r="D259" s="88">
        <f>IF(D293&gt;143750, 143750, D293)</f>
        <v>14813.179999999997</v>
      </c>
      <c r="E259" s="553"/>
      <c r="F259" s="553"/>
      <c r="G259" s="553"/>
      <c r="H259" s="13"/>
      <c r="I259" s="13"/>
      <c r="J259" s="37"/>
    </row>
    <row r="260" spans="1:10" ht="20.25" x14ac:dyDescent="0.3">
      <c r="A260" s="39" t="s">
        <v>326</v>
      </c>
      <c r="B260" s="88">
        <f>B256+B259</f>
        <v>66125</v>
      </c>
      <c r="C260" s="88">
        <f>C256+C259</f>
        <v>132250</v>
      </c>
      <c r="D260" s="88">
        <f>D256+D259</f>
        <v>158563.18</v>
      </c>
      <c r="E260" s="146" t="s">
        <v>108</v>
      </c>
      <c r="F260" s="14"/>
      <c r="G260" s="13"/>
      <c r="H260" s="13"/>
      <c r="I260" s="13"/>
      <c r="J260" s="37"/>
    </row>
    <row r="261" spans="1:10" ht="20.25" x14ac:dyDescent="0.3">
      <c r="A261" s="39" t="s">
        <v>39</v>
      </c>
      <c r="B261" s="88">
        <f>B258-E266</f>
        <v>0</v>
      </c>
      <c r="C261" s="88">
        <f>C258-E269</f>
        <v>75823.88</v>
      </c>
      <c r="D261" s="88">
        <f>D258-E283</f>
        <v>5536.8299999999872</v>
      </c>
      <c r="E261" s="146" t="s">
        <v>109</v>
      </c>
      <c r="F261" s="14"/>
      <c r="G261" s="13"/>
      <c r="H261" s="13"/>
      <c r="I261" s="13"/>
      <c r="J261" s="37"/>
    </row>
    <row r="262" spans="1:10" x14ac:dyDescent="0.2">
      <c r="A262" s="39" t="s">
        <v>132</v>
      </c>
      <c r="B262" s="89">
        <f>B260-E266-F266</f>
        <v>0</v>
      </c>
      <c r="C262" s="89">
        <f>C260-E269-F269</f>
        <v>75823.88</v>
      </c>
      <c r="D262" s="90">
        <f>D260-E283-F283</f>
        <v>5536.8299999999872</v>
      </c>
      <c r="E262" s="554" t="s">
        <v>110</v>
      </c>
      <c r="F262" s="555"/>
      <c r="G262" s="555"/>
      <c r="H262" s="555"/>
      <c r="I262" s="140"/>
      <c r="J262" s="141"/>
    </row>
    <row r="263" spans="1:10" ht="21" thickBot="1" x14ac:dyDescent="0.35">
      <c r="A263" s="39"/>
      <c r="B263" s="13"/>
      <c r="C263" s="13"/>
      <c r="D263" s="13"/>
      <c r="E263" s="14"/>
      <c r="F263" s="14"/>
      <c r="G263" s="13"/>
      <c r="H263" s="13"/>
      <c r="I263" s="13"/>
      <c r="J263" s="37"/>
    </row>
    <row r="264" spans="1:10" ht="51" x14ac:dyDescent="0.2">
      <c r="A264" s="19" t="s">
        <v>41</v>
      </c>
      <c r="B264" s="20" t="s">
        <v>34</v>
      </c>
      <c r="C264" s="20" t="s">
        <v>64</v>
      </c>
      <c r="D264" s="20" t="s">
        <v>63</v>
      </c>
      <c r="E264" s="20" t="s">
        <v>37</v>
      </c>
      <c r="F264" s="20" t="s">
        <v>48</v>
      </c>
      <c r="G264" s="20" t="s">
        <v>40</v>
      </c>
      <c r="H264" s="20" t="s">
        <v>38</v>
      </c>
      <c r="I264" s="20"/>
      <c r="J264" s="21" t="s">
        <v>5</v>
      </c>
    </row>
    <row r="265" spans="1:10" x14ac:dyDescent="0.2">
      <c r="A265" s="22" t="s">
        <v>10</v>
      </c>
      <c r="B265" s="23" t="s">
        <v>10</v>
      </c>
      <c r="C265" s="57">
        <v>66125</v>
      </c>
      <c r="D265" s="50">
        <v>42738</v>
      </c>
      <c r="E265" s="57">
        <v>66125</v>
      </c>
      <c r="F265" s="57">
        <f>IF(E265="",C265,0)</f>
        <v>0</v>
      </c>
      <c r="G265" s="23" t="s">
        <v>354</v>
      </c>
      <c r="H265" s="23" t="s">
        <v>355</v>
      </c>
      <c r="I265" s="503"/>
      <c r="J265" s="24"/>
    </row>
    <row r="266" spans="1:10" x14ac:dyDescent="0.2">
      <c r="A266" s="25" t="s">
        <v>43</v>
      </c>
      <c r="B266" s="26"/>
      <c r="C266" s="60">
        <f>C265</f>
        <v>66125</v>
      </c>
      <c r="D266" s="26"/>
      <c r="E266" s="60">
        <f>E265</f>
        <v>66125</v>
      </c>
      <c r="F266" s="60">
        <f>F265</f>
        <v>0</v>
      </c>
      <c r="G266" s="26"/>
      <c r="H266" s="26"/>
      <c r="I266" s="505"/>
      <c r="J266" s="27"/>
    </row>
    <row r="267" spans="1:10" x14ac:dyDescent="0.2">
      <c r="A267" s="33"/>
      <c r="B267" s="33"/>
      <c r="C267" s="59"/>
      <c r="D267" s="33"/>
      <c r="E267" s="59"/>
      <c r="F267" s="59"/>
      <c r="G267" s="33"/>
      <c r="H267" s="33"/>
      <c r="I267" s="33"/>
      <c r="J267" s="33"/>
    </row>
    <row r="268" spans="1:10" x14ac:dyDescent="0.2">
      <c r="A268" s="25" t="s">
        <v>44</v>
      </c>
      <c r="B268" s="26" t="s">
        <v>11</v>
      </c>
      <c r="C268" s="58">
        <v>56426.12</v>
      </c>
      <c r="D268" s="55">
        <v>43185</v>
      </c>
      <c r="E268" s="58">
        <v>56426.12</v>
      </c>
      <c r="F268" s="58"/>
      <c r="G268" s="51" t="s">
        <v>651</v>
      </c>
      <c r="H268" s="26" t="s">
        <v>529</v>
      </c>
      <c r="I268" s="505"/>
      <c r="J268" s="43"/>
    </row>
    <row r="269" spans="1:10" x14ac:dyDescent="0.2">
      <c r="A269" s="25" t="s">
        <v>43</v>
      </c>
      <c r="B269" s="26"/>
      <c r="C269" s="60">
        <f>C268</f>
        <v>56426.12</v>
      </c>
      <c r="D269" s="26"/>
      <c r="E269" s="60">
        <f>E268</f>
        <v>56426.12</v>
      </c>
      <c r="F269" s="60">
        <f>F268</f>
        <v>0</v>
      </c>
      <c r="G269" s="26"/>
      <c r="H269" s="26"/>
      <c r="I269" s="505"/>
      <c r="J269" s="27"/>
    </row>
    <row r="270" spans="1:10" x14ac:dyDescent="0.2">
      <c r="A270" s="33"/>
      <c r="B270" s="33"/>
      <c r="C270" s="59"/>
      <c r="D270" s="33"/>
      <c r="E270" s="59"/>
      <c r="F270" s="59"/>
      <c r="G270" s="469"/>
      <c r="H270" s="469"/>
      <c r="I270" s="469"/>
      <c r="J270" s="33"/>
    </row>
    <row r="271" spans="1:10" x14ac:dyDescent="0.2">
      <c r="A271" s="25" t="s">
        <v>42</v>
      </c>
      <c r="B271" s="26"/>
      <c r="C271" s="58"/>
      <c r="D271" s="55"/>
      <c r="E271" s="58"/>
      <c r="F271" s="151"/>
      <c r="G271" s="26"/>
      <c r="H271" s="26"/>
      <c r="I271" s="232"/>
      <c r="J271" s="152"/>
    </row>
    <row r="272" spans="1:10" x14ac:dyDescent="0.2">
      <c r="A272" s="150"/>
      <c r="B272" s="145" t="s">
        <v>11</v>
      </c>
      <c r="C272" s="151">
        <v>21000</v>
      </c>
      <c r="D272" s="53" t="s">
        <v>337</v>
      </c>
      <c r="E272" s="151">
        <v>21000</v>
      </c>
      <c r="F272" s="151">
        <v>0</v>
      </c>
      <c r="G272" s="145" t="s">
        <v>435</v>
      </c>
      <c r="H272" s="145" t="s">
        <v>319</v>
      </c>
      <c r="I272" s="506"/>
      <c r="J272" s="42" t="s">
        <v>541</v>
      </c>
    </row>
    <row r="273" spans="1:10" x14ac:dyDescent="0.2">
      <c r="A273" s="150"/>
      <c r="B273" s="145" t="s">
        <v>10</v>
      </c>
      <c r="C273" s="151">
        <v>25000</v>
      </c>
      <c r="D273" s="53" t="s">
        <v>345</v>
      </c>
      <c r="E273" s="151">
        <v>25000</v>
      </c>
      <c r="F273" s="151"/>
      <c r="G273" s="145" t="s">
        <v>410</v>
      </c>
      <c r="H273" s="145" t="s">
        <v>319</v>
      </c>
      <c r="I273" s="506"/>
      <c r="J273" s="42"/>
    </row>
    <row r="274" spans="1:10" x14ac:dyDescent="0.2">
      <c r="A274" s="150"/>
      <c r="B274" s="145" t="s">
        <v>10</v>
      </c>
      <c r="C274" s="151">
        <v>15000</v>
      </c>
      <c r="D274" s="53" t="s">
        <v>368</v>
      </c>
      <c r="E274" s="151">
        <v>15000</v>
      </c>
      <c r="F274" s="151"/>
      <c r="G274" s="187" t="s">
        <v>410</v>
      </c>
      <c r="H274" s="145" t="s">
        <v>319</v>
      </c>
      <c r="I274" s="506"/>
      <c r="J274" s="188" t="s">
        <v>363</v>
      </c>
    </row>
    <row r="275" spans="1:10" x14ac:dyDescent="0.2">
      <c r="A275" s="150"/>
      <c r="B275" s="145" t="s">
        <v>263</v>
      </c>
      <c r="C275" s="151">
        <v>1097</v>
      </c>
      <c r="D275" s="167" t="s">
        <v>350</v>
      </c>
      <c r="E275" s="151">
        <v>1097</v>
      </c>
      <c r="F275" s="151"/>
      <c r="G275" s="145" t="s">
        <v>353</v>
      </c>
      <c r="H275" s="145" t="s">
        <v>351</v>
      </c>
      <c r="I275" s="506"/>
      <c r="J275" s="144"/>
    </row>
    <row r="276" spans="1:10" x14ac:dyDescent="0.2">
      <c r="A276" s="150"/>
      <c r="B276" s="145" t="s">
        <v>10</v>
      </c>
      <c r="C276" s="151">
        <v>15000</v>
      </c>
      <c r="D276" s="53" t="s">
        <v>370</v>
      </c>
      <c r="E276" s="151">
        <v>15000</v>
      </c>
      <c r="F276" s="151"/>
      <c r="G276" s="145" t="s">
        <v>415</v>
      </c>
      <c r="H276" s="145" t="s">
        <v>308</v>
      </c>
      <c r="I276" s="506"/>
      <c r="J276" s="42" t="s">
        <v>361</v>
      </c>
    </row>
    <row r="277" spans="1:10" x14ac:dyDescent="0.2">
      <c r="A277" s="150"/>
      <c r="B277" s="163" t="s">
        <v>10</v>
      </c>
      <c r="C277" s="151">
        <v>6000</v>
      </c>
      <c r="D277" s="118" t="s">
        <v>371</v>
      </c>
      <c r="E277" s="151"/>
      <c r="F277" s="473">
        <v>0</v>
      </c>
      <c r="G277" s="201"/>
      <c r="H277" s="197" t="s">
        <v>365</v>
      </c>
      <c r="I277" s="274"/>
      <c r="J277" s="202" t="s">
        <v>441</v>
      </c>
    </row>
    <row r="278" spans="1:10" x14ac:dyDescent="0.2">
      <c r="A278" s="150"/>
      <c r="B278" s="172" t="s">
        <v>10</v>
      </c>
      <c r="C278" s="151">
        <v>6000</v>
      </c>
      <c r="D278" s="194" t="s">
        <v>448</v>
      </c>
      <c r="E278" s="151">
        <v>6000</v>
      </c>
      <c r="F278" s="473"/>
      <c r="G278" s="199" t="s">
        <v>462</v>
      </c>
      <c r="H278" s="198" t="s">
        <v>382</v>
      </c>
      <c r="I278" s="274"/>
      <c r="J278" s="202"/>
    </row>
    <row r="279" spans="1:10" x14ac:dyDescent="0.2">
      <c r="A279" s="472"/>
      <c r="B279" s="199" t="s">
        <v>10</v>
      </c>
      <c r="C279" s="471">
        <v>14000</v>
      </c>
      <c r="D279" s="200" t="s">
        <v>372</v>
      </c>
      <c r="E279" s="470">
        <v>14000</v>
      </c>
      <c r="F279" s="151"/>
      <c r="G279" s="166" t="s">
        <v>426</v>
      </c>
      <c r="H279" s="176" t="s">
        <v>366</v>
      </c>
      <c r="I279" s="521"/>
      <c r="J279" s="195"/>
    </row>
    <row r="280" spans="1:10" x14ac:dyDescent="0.2">
      <c r="A280" s="150"/>
      <c r="B280" s="196" t="s">
        <v>11</v>
      </c>
      <c r="C280" s="151">
        <v>46000</v>
      </c>
      <c r="D280" s="193" t="s">
        <v>385</v>
      </c>
      <c r="E280" s="151">
        <v>46000</v>
      </c>
      <c r="F280" s="151"/>
      <c r="G280" s="180" t="s">
        <v>542</v>
      </c>
      <c r="H280" s="173" t="s">
        <v>382</v>
      </c>
      <c r="I280" s="522"/>
      <c r="J280" s="179"/>
    </row>
    <row r="281" spans="1:10" ht="38.25" x14ac:dyDescent="0.2">
      <c r="A281" s="150"/>
      <c r="B281" s="173" t="s">
        <v>10</v>
      </c>
      <c r="C281" s="151">
        <v>15000</v>
      </c>
      <c r="D281" s="136" t="s">
        <v>408</v>
      </c>
      <c r="E281" s="151">
        <v>9929.35</v>
      </c>
      <c r="F281" s="151"/>
      <c r="G281" s="180" t="s">
        <v>434</v>
      </c>
      <c r="H281" s="173" t="s">
        <v>389</v>
      </c>
      <c r="I281" s="522"/>
      <c r="J281" s="189" t="s">
        <v>405</v>
      </c>
    </row>
    <row r="282" spans="1:10" x14ac:dyDescent="0.2">
      <c r="A282" s="150"/>
      <c r="B282" s="173" t="s">
        <v>263</v>
      </c>
      <c r="C282" s="151">
        <v>14414</v>
      </c>
      <c r="D282" s="136" t="s">
        <v>411</v>
      </c>
      <c r="E282" s="190">
        <v>0</v>
      </c>
      <c r="F282" s="151">
        <v>0</v>
      </c>
      <c r="G282" s="173" t="s">
        <v>411</v>
      </c>
      <c r="H282" s="173" t="s">
        <v>382</v>
      </c>
      <c r="I282" s="522"/>
      <c r="J282" s="189" t="s">
        <v>412</v>
      </c>
    </row>
    <row r="283" spans="1:10" ht="13.5" thickBot="1" x14ac:dyDescent="0.25">
      <c r="A283" s="28" t="s">
        <v>43</v>
      </c>
      <c r="B283" s="29"/>
      <c r="C283" s="56">
        <f>SUM(C271:C282)</f>
        <v>178511</v>
      </c>
      <c r="D283" s="29"/>
      <c r="E283" s="56">
        <f>SUM(E271:E282)</f>
        <v>153026.35</v>
      </c>
      <c r="F283" s="56">
        <f>SUM(F271:F282)</f>
        <v>0</v>
      </c>
      <c r="G283" s="29"/>
      <c r="H283" s="29"/>
      <c r="I283" s="511"/>
      <c r="J283" s="30"/>
    </row>
    <row r="284" spans="1:10" ht="13.5" thickBot="1" x14ac:dyDescent="0.25"/>
    <row r="285" spans="1:10" ht="21" thickBot="1" x14ac:dyDescent="0.25">
      <c r="A285" s="550" t="s">
        <v>207</v>
      </c>
      <c r="B285" s="551"/>
      <c r="C285" s="551"/>
      <c r="D285" s="551"/>
      <c r="E285" s="551"/>
      <c r="F285" s="551"/>
      <c r="G285" s="551"/>
      <c r="H285" s="551"/>
      <c r="I285" s="551"/>
      <c r="J285" s="552"/>
    </row>
    <row r="286" spans="1:10" ht="20.25" x14ac:dyDescent="0.3">
      <c r="A286" s="39"/>
      <c r="B286" s="13" t="s">
        <v>208</v>
      </c>
      <c r="C286" s="13" t="s">
        <v>209</v>
      </c>
      <c r="D286" s="13" t="s">
        <v>210</v>
      </c>
      <c r="E286" s="14"/>
      <c r="F286" s="14"/>
      <c r="G286" s="13"/>
      <c r="H286" s="13"/>
      <c r="I286" s="13"/>
      <c r="J286" s="37"/>
    </row>
    <row r="287" spans="1:10" ht="20.25" x14ac:dyDescent="0.3">
      <c r="A287" s="39" t="s">
        <v>57</v>
      </c>
      <c r="B287" s="88">
        <v>66125</v>
      </c>
      <c r="C287" s="88">
        <v>66125</v>
      </c>
      <c r="D287" s="88">
        <v>143750</v>
      </c>
      <c r="E287" s="14"/>
      <c r="F287" s="14"/>
      <c r="G287" s="13"/>
      <c r="H287" s="13"/>
      <c r="I287" s="13"/>
      <c r="J287" s="37"/>
    </row>
    <row r="288" spans="1:10" ht="20.25" x14ac:dyDescent="0.3">
      <c r="A288" s="39" t="s">
        <v>36</v>
      </c>
      <c r="B288" s="88">
        <f>IF(B332&gt;66125,66125,B332)</f>
        <v>0</v>
      </c>
      <c r="C288" s="88">
        <f>IF(C332&gt;66125,66125,C332)</f>
        <v>66125</v>
      </c>
      <c r="D288" s="88">
        <f>IF(D332&gt;143750,143750,D332)</f>
        <v>9771.5499999999884</v>
      </c>
      <c r="E288" s="14"/>
      <c r="F288" s="14"/>
      <c r="G288" s="13"/>
      <c r="H288" s="13"/>
      <c r="I288" s="13"/>
      <c r="J288" s="37"/>
    </row>
    <row r="289" spans="1:10" ht="20.25" x14ac:dyDescent="0.3">
      <c r="A289" s="39" t="s">
        <v>211</v>
      </c>
      <c r="B289" s="88">
        <f>SUM(B287:B288)</f>
        <v>66125</v>
      </c>
      <c r="C289" s="88">
        <f>SUM(C287:C288)</f>
        <v>132250</v>
      </c>
      <c r="D289" s="88">
        <f>SUM(D287:D288)</f>
        <v>153521.54999999999</v>
      </c>
      <c r="E289" s="125" t="s">
        <v>107</v>
      </c>
      <c r="F289" s="14"/>
      <c r="G289" s="13"/>
      <c r="H289" s="13"/>
      <c r="I289" s="13"/>
      <c r="J289" s="37"/>
    </row>
    <row r="290" spans="1:10" x14ac:dyDescent="0.2">
      <c r="A290" s="39" t="s">
        <v>47</v>
      </c>
      <c r="B290" s="88">
        <f>B333</f>
        <v>0</v>
      </c>
      <c r="C290" s="88">
        <f>IF(C333&gt;66125, 66125,C333)</f>
        <v>66125</v>
      </c>
      <c r="D290" s="88">
        <f>IF(D333&gt;143750, 143750, D333)</f>
        <v>9771.5499999999884</v>
      </c>
      <c r="E290" s="553"/>
      <c r="F290" s="553"/>
      <c r="G290" s="553"/>
      <c r="H290" s="13"/>
      <c r="I290" s="13"/>
      <c r="J290" s="37"/>
    </row>
    <row r="291" spans="1:10" ht="20.25" x14ac:dyDescent="0.3">
      <c r="A291" s="39" t="s">
        <v>212</v>
      </c>
      <c r="B291" s="88">
        <f>B287+B290</f>
        <v>66125</v>
      </c>
      <c r="C291" s="88">
        <f>C287+C290</f>
        <v>132250</v>
      </c>
      <c r="D291" s="88">
        <f>D287+D290</f>
        <v>153521.54999999999</v>
      </c>
      <c r="E291" s="146" t="s">
        <v>108</v>
      </c>
      <c r="F291" s="14"/>
      <c r="G291" s="13"/>
      <c r="H291" s="13"/>
      <c r="I291" s="13"/>
      <c r="J291" s="37"/>
    </row>
    <row r="292" spans="1:10" ht="20.25" x14ac:dyDescent="0.3">
      <c r="A292" s="39" t="s">
        <v>39</v>
      </c>
      <c r="B292" s="88">
        <f>B289-E297</f>
        <v>0</v>
      </c>
      <c r="C292" s="88">
        <f>C289-E300</f>
        <v>94807.65</v>
      </c>
      <c r="D292" s="88">
        <f>D289-E323</f>
        <v>14813.179999999993</v>
      </c>
      <c r="E292" s="146" t="s">
        <v>109</v>
      </c>
      <c r="F292" s="14"/>
      <c r="G292" s="13"/>
      <c r="H292" s="13"/>
      <c r="I292" s="13"/>
      <c r="J292" s="37"/>
    </row>
    <row r="293" spans="1:10" x14ac:dyDescent="0.2">
      <c r="A293" s="39" t="s">
        <v>132</v>
      </c>
      <c r="B293" s="89">
        <f>B291-E297-F297</f>
        <v>0</v>
      </c>
      <c r="C293" s="89">
        <f>C291-E300-F300</f>
        <v>94807.65</v>
      </c>
      <c r="D293" s="90">
        <f>D291-E323-F323</f>
        <v>14813.179999999997</v>
      </c>
      <c r="E293" s="554" t="s">
        <v>110</v>
      </c>
      <c r="F293" s="555"/>
      <c r="G293" s="555"/>
      <c r="H293" s="555"/>
      <c r="I293" s="140"/>
      <c r="J293" s="141"/>
    </row>
    <row r="294" spans="1:10" ht="21" thickBot="1" x14ac:dyDescent="0.35">
      <c r="A294" s="39"/>
      <c r="B294" s="13"/>
      <c r="C294" s="13"/>
      <c r="D294" s="13"/>
      <c r="E294" s="14"/>
      <c r="F294" s="14"/>
      <c r="G294" s="13"/>
      <c r="H294" s="13"/>
      <c r="I294" s="13"/>
      <c r="J294" s="37"/>
    </row>
    <row r="295" spans="1:10" ht="51" x14ac:dyDescent="0.2">
      <c r="A295" s="19" t="s">
        <v>41</v>
      </c>
      <c r="B295" s="20" t="s">
        <v>34</v>
      </c>
      <c r="C295" s="20" t="s">
        <v>64</v>
      </c>
      <c r="D295" s="20" t="s">
        <v>63</v>
      </c>
      <c r="E295" s="20" t="s">
        <v>37</v>
      </c>
      <c r="F295" s="20" t="s">
        <v>48</v>
      </c>
      <c r="G295" s="20" t="s">
        <v>40</v>
      </c>
      <c r="H295" s="20" t="s">
        <v>38</v>
      </c>
      <c r="I295" s="20"/>
      <c r="J295" s="21" t="s">
        <v>5</v>
      </c>
    </row>
    <row r="296" spans="1:10" x14ac:dyDescent="0.2">
      <c r="A296" s="22" t="s">
        <v>10</v>
      </c>
      <c r="B296" s="23" t="s">
        <v>10</v>
      </c>
      <c r="C296" s="57">
        <v>66125</v>
      </c>
      <c r="D296" s="50">
        <v>42373</v>
      </c>
      <c r="E296" s="57">
        <v>66125</v>
      </c>
      <c r="F296" s="57">
        <f>IF(E296="",C296,0)</f>
        <v>0</v>
      </c>
      <c r="G296" s="23" t="s">
        <v>227</v>
      </c>
      <c r="H296" s="23" t="s">
        <v>228</v>
      </c>
      <c r="I296" s="503"/>
      <c r="J296" s="24"/>
    </row>
    <row r="297" spans="1:10" x14ac:dyDescent="0.2">
      <c r="A297" s="25" t="s">
        <v>43</v>
      </c>
      <c r="B297" s="26"/>
      <c r="C297" s="60">
        <f>C296</f>
        <v>66125</v>
      </c>
      <c r="D297" s="26"/>
      <c r="E297" s="60">
        <f>E296</f>
        <v>66125</v>
      </c>
      <c r="F297" s="60">
        <f>F296</f>
        <v>0</v>
      </c>
      <c r="G297" s="26"/>
      <c r="H297" s="26"/>
      <c r="I297" s="505"/>
      <c r="J297" s="27"/>
    </row>
    <row r="298" spans="1:10" x14ac:dyDescent="0.2">
      <c r="A298" s="33"/>
      <c r="B298" s="33"/>
      <c r="C298" s="59"/>
      <c r="D298" s="33"/>
      <c r="E298" s="59"/>
      <c r="F298" s="59"/>
      <c r="G298" s="33"/>
      <c r="H298" s="33"/>
      <c r="I298" s="33"/>
      <c r="J298" s="33"/>
    </row>
    <row r="299" spans="1:10" x14ac:dyDescent="0.2">
      <c r="A299" s="25" t="s">
        <v>44</v>
      </c>
      <c r="B299" s="26" t="s">
        <v>11</v>
      </c>
      <c r="C299" s="58"/>
      <c r="D299" s="55"/>
      <c r="E299" s="58">
        <v>37442.35</v>
      </c>
      <c r="F299" s="58">
        <v>0</v>
      </c>
      <c r="G299" s="51" t="s">
        <v>392</v>
      </c>
      <c r="H299" s="26" t="s">
        <v>386</v>
      </c>
      <c r="I299" s="505"/>
      <c r="J299" s="43"/>
    </row>
    <row r="300" spans="1:10" x14ac:dyDescent="0.2">
      <c r="A300" s="25" t="s">
        <v>43</v>
      </c>
      <c r="B300" s="26"/>
      <c r="C300" s="60">
        <f>C299</f>
        <v>0</v>
      </c>
      <c r="D300" s="26"/>
      <c r="E300" s="60">
        <f>E299</f>
        <v>37442.35</v>
      </c>
      <c r="F300" s="60">
        <f>F299</f>
        <v>0</v>
      </c>
      <c r="G300" s="26"/>
      <c r="H300" s="26"/>
      <c r="I300" s="505"/>
      <c r="J300" s="27"/>
    </row>
    <row r="301" spans="1:10" x14ac:dyDescent="0.2">
      <c r="A301" s="33"/>
      <c r="B301" s="33"/>
      <c r="C301" s="59"/>
      <c r="D301" s="33"/>
      <c r="E301" s="59"/>
      <c r="F301" s="59"/>
      <c r="G301" s="469"/>
      <c r="H301" s="469"/>
      <c r="I301" s="469"/>
      <c r="J301" s="33"/>
    </row>
    <row r="302" spans="1:10" x14ac:dyDescent="0.2">
      <c r="A302" s="25" t="s">
        <v>42</v>
      </c>
      <c r="B302" s="26"/>
      <c r="C302" s="58"/>
      <c r="D302" s="55"/>
      <c r="E302" s="58"/>
      <c r="F302" s="151"/>
      <c r="G302" s="26"/>
      <c r="H302" s="26"/>
      <c r="I302" s="232"/>
      <c r="J302" s="152"/>
    </row>
    <row r="303" spans="1:10" x14ac:dyDescent="0.2">
      <c r="A303" s="150"/>
      <c r="B303" s="559" t="s">
        <v>11</v>
      </c>
      <c r="C303" s="562">
        <v>14000</v>
      </c>
      <c r="D303" s="565" t="s">
        <v>192</v>
      </c>
      <c r="E303" s="562">
        <v>1452.2</v>
      </c>
      <c r="F303" s="151">
        <f>C303-E303</f>
        <v>12547.8</v>
      </c>
      <c r="G303" s="559" t="s">
        <v>269</v>
      </c>
      <c r="H303" s="559" t="s">
        <v>193</v>
      </c>
      <c r="I303" s="507"/>
      <c r="J303" s="42" t="s">
        <v>90</v>
      </c>
    </row>
    <row r="304" spans="1:10" x14ac:dyDescent="0.2">
      <c r="A304" s="150"/>
      <c r="B304" s="561"/>
      <c r="C304" s="564"/>
      <c r="D304" s="561"/>
      <c r="E304" s="564"/>
      <c r="F304" s="151">
        <v>-12547.8</v>
      </c>
      <c r="G304" s="561"/>
      <c r="H304" s="561"/>
      <c r="I304" s="452"/>
      <c r="J304" s="42" t="s">
        <v>271</v>
      </c>
    </row>
    <row r="305" spans="1:10" x14ac:dyDescent="0.2">
      <c r="A305" s="150"/>
      <c r="B305" s="559" t="s">
        <v>11</v>
      </c>
      <c r="C305" s="562">
        <v>8420</v>
      </c>
      <c r="D305" s="565" t="s">
        <v>235</v>
      </c>
      <c r="E305" s="562">
        <v>6995.5</v>
      </c>
      <c r="F305" s="151">
        <f>C305-E305</f>
        <v>1424.5</v>
      </c>
      <c r="G305" s="559" t="s">
        <v>301</v>
      </c>
      <c r="H305" s="559" t="s">
        <v>231</v>
      </c>
      <c r="I305" s="507"/>
      <c r="J305" s="178" t="s">
        <v>90</v>
      </c>
    </row>
    <row r="306" spans="1:10" x14ac:dyDescent="0.2">
      <c r="A306" s="150"/>
      <c r="B306" s="561"/>
      <c r="C306" s="564"/>
      <c r="D306" s="561"/>
      <c r="E306" s="564"/>
      <c r="F306" s="151">
        <v>-1424.5</v>
      </c>
      <c r="G306" s="561"/>
      <c r="H306" s="561"/>
      <c r="I306" s="502"/>
      <c r="J306" s="27" t="s">
        <v>298</v>
      </c>
    </row>
    <row r="307" spans="1:10" x14ac:dyDescent="0.2">
      <c r="A307" s="150"/>
      <c r="B307" s="559" t="s">
        <v>11</v>
      </c>
      <c r="C307" s="562">
        <v>30000</v>
      </c>
      <c r="D307" s="565" t="s">
        <v>244</v>
      </c>
      <c r="E307" s="562">
        <v>18587.47</v>
      </c>
      <c r="F307" s="151">
        <f>C307-E307</f>
        <v>11412.529999999999</v>
      </c>
      <c r="G307" s="559" t="s">
        <v>302</v>
      </c>
      <c r="H307" s="559" t="s">
        <v>240</v>
      </c>
      <c r="I307" s="507"/>
      <c r="J307" s="42" t="s">
        <v>299</v>
      </c>
    </row>
    <row r="308" spans="1:10" x14ac:dyDescent="0.2">
      <c r="A308" s="150"/>
      <c r="B308" s="561"/>
      <c r="C308" s="564"/>
      <c r="D308" s="561"/>
      <c r="E308" s="564"/>
      <c r="F308" s="151">
        <v>-11412.53</v>
      </c>
      <c r="G308" s="561"/>
      <c r="H308" s="561"/>
      <c r="I308" s="452"/>
      <c r="J308" s="42" t="s">
        <v>303</v>
      </c>
    </row>
    <row r="309" spans="1:10" x14ac:dyDescent="0.2">
      <c r="A309" s="150"/>
      <c r="B309" s="559" t="s">
        <v>10</v>
      </c>
      <c r="C309" s="562">
        <v>23000</v>
      </c>
      <c r="D309" s="565" t="s">
        <v>251</v>
      </c>
      <c r="E309" s="562">
        <v>14470</v>
      </c>
      <c r="F309" s="142">
        <f>C309-E309</f>
        <v>8530</v>
      </c>
      <c r="G309" s="559" t="s">
        <v>291</v>
      </c>
      <c r="H309" s="559" t="s">
        <v>240</v>
      </c>
      <c r="I309" s="507"/>
      <c r="J309" s="569" t="s">
        <v>285</v>
      </c>
    </row>
    <row r="310" spans="1:10" x14ac:dyDescent="0.2">
      <c r="A310" s="150"/>
      <c r="B310" s="561"/>
      <c r="C310" s="564"/>
      <c r="D310" s="561"/>
      <c r="E310" s="564"/>
      <c r="F310" s="142">
        <v>-8530</v>
      </c>
      <c r="G310" s="561"/>
      <c r="H310" s="561"/>
      <c r="I310" s="502"/>
      <c r="J310" s="570"/>
    </row>
    <row r="311" spans="1:10" x14ac:dyDescent="0.2">
      <c r="A311" s="150"/>
      <c r="B311" s="145" t="s">
        <v>10</v>
      </c>
      <c r="C311" s="151">
        <v>12000</v>
      </c>
      <c r="D311" s="53" t="s">
        <v>248</v>
      </c>
      <c r="E311" s="151">
        <v>5549.17</v>
      </c>
      <c r="F311" s="151"/>
      <c r="G311" s="145" t="s">
        <v>451</v>
      </c>
      <c r="H311" s="145" t="s">
        <v>247</v>
      </c>
      <c r="I311" s="506"/>
      <c r="J311" s="42" t="s">
        <v>188</v>
      </c>
    </row>
    <row r="312" spans="1:10" x14ac:dyDescent="0.2">
      <c r="A312" s="150"/>
      <c r="B312" s="145"/>
      <c r="C312" s="151"/>
      <c r="D312" s="53"/>
      <c r="E312" s="443">
        <v>914</v>
      </c>
      <c r="F312" s="151">
        <f>C311-E311-E312</f>
        <v>5536.83</v>
      </c>
      <c r="G312" s="222" t="s">
        <v>580</v>
      </c>
      <c r="H312" s="145" t="s">
        <v>247</v>
      </c>
      <c r="I312" s="506"/>
      <c r="J312" s="42" t="s">
        <v>100</v>
      </c>
    </row>
    <row r="313" spans="1:10" x14ac:dyDescent="0.2">
      <c r="A313" s="150"/>
      <c r="B313" s="145"/>
      <c r="C313" s="151"/>
      <c r="D313" s="53"/>
      <c r="E313" s="151"/>
      <c r="F313" s="151">
        <v>-5536.83</v>
      </c>
      <c r="G313" s="145"/>
      <c r="H313" s="145"/>
      <c r="I313" s="506"/>
      <c r="J313" s="42" t="s">
        <v>99</v>
      </c>
    </row>
    <row r="314" spans="1:10" x14ac:dyDescent="0.2">
      <c r="A314" s="150"/>
      <c r="B314" s="145" t="s">
        <v>10</v>
      </c>
      <c r="C314" s="151">
        <v>35108</v>
      </c>
      <c r="D314" s="53" t="s">
        <v>266</v>
      </c>
      <c r="E314" s="151">
        <v>35108</v>
      </c>
      <c r="F314" s="151">
        <f>C314-E314</f>
        <v>0</v>
      </c>
      <c r="G314" s="145" t="s">
        <v>315</v>
      </c>
      <c r="H314" s="145" t="s">
        <v>265</v>
      </c>
      <c r="I314" s="506"/>
      <c r="J314" s="42" t="s">
        <v>100</v>
      </c>
    </row>
    <row r="315" spans="1:10" ht="25.5" x14ac:dyDescent="0.2">
      <c r="A315" s="150"/>
      <c r="B315" s="145" t="s">
        <v>11</v>
      </c>
      <c r="C315" s="151">
        <f>30224+7837.03</f>
        <v>38061.03</v>
      </c>
      <c r="D315" s="167" t="s">
        <v>317</v>
      </c>
      <c r="E315" s="151">
        <v>32494.98</v>
      </c>
      <c r="F315" s="151">
        <f>C315-E315</f>
        <v>5566.0499999999993</v>
      </c>
      <c r="G315" s="145" t="s">
        <v>338</v>
      </c>
      <c r="H315" s="145" t="s">
        <v>265</v>
      </c>
      <c r="I315" s="506"/>
      <c r="J315" s="144" t="s">
        <v>318</v>
      </c>
    </row>
    <row r="316" spans="1:10" x14ac:dyDescent="0.2">
      <c r="A316" s="150"/>
      <c r="B316" s="145"/>
      <c r="C316" s="151"/>
      <c r="D316" s="53"/>
      <c r="E316" s="151"/>
      <c r="F316" s="151">
        <v>-5566.05</v>
      </c>
      <c r="G316" s="145"/>
      <c r="H316" s="145"/>
      <c r="I316" s="506"/>
      <c r="J316" s="42"/>
    </row>
    <row r="317" spans="1:10" x14ac:dyDescent="0.2">
      <c r="A317" s="150"/>
      <c r="B317" s="145" t="s">
        <v>11</v>
      </c>
      <c r="C317" s="151">
        <v>5566.05</v>
      </c>
      <c r="D317" s="53" t="s">
        <v>337</v>
      </c>
      <c r="E317" s="151">
        <v>5566.05</v>
      </c>
      <c r="F317" s="151">
        <v>0</v>
      </c>
      <c r="G317" s="145" t="s">
        <v>435</v>
      </c>
      <c r="H317" s="145" t="s">
        <v>319</v>
      </c>
      <c r="I317" s="506"/>
      <c r="J317" s="179"/>
    </row>
    <row r="318" spans="1:10" x14ac:dyDescent="0.2">
      <c r="A318" s="150"/>
      <c r="B318" s="559" t="s">
        <v>10</v>
      </c>
      <c r="C318" s="562">
        <v>4000</v>
      </c>
      <c r="D318" s="565" t="s">
        <v>249</v>
      </c>
      <c r="E318" s="562">
        <v>3886</v>
      </c>
      <c r="F318" s="151">
        <f>C318-E318</f>
        <v>114</v>
      </c>
      <c r="G318" s="559" t="s">
        <v>290</v>
      </c>
      <c r="H318" s="559" t="s">
        <v>193</v>
      </c>
      <c r="I318" s="507"/>
      <c r="J318" s="569" t="s">
        <v>285</v>
      </c>
    </row>
    <row r="319" spans="1:10" x14ac:dyDescent="0.2">
      <c r="A319" s="150"/>
      <c r="B319" s="561"/>
      <c r="C319" s="564"/>
      <c r="D319" s="561"/>
      <c r="E319" s="564"/>
      <c r="F319" s="151">
        <v>-114</v>
      </c>
      <c r="G319" s="561"/>
      <c r="H319" s="561"/>
      <c r="I319" s="502"/>
      <c r="J319" s="570"/>
    </row>
    <row r="320" spans="1:10" x14ac:dyDescent="0.2">
      <c r="A320" s="150"/>
      <c r="B320" s="163" t="s">
        <v>263</v>
      </c>
      <c r="C320" s="175">
        <v>4085</v>
      </c>
      <c r="D320" s="176" t="s">
        <v>304</v>
      </c>
      <c r="E320" s="175">
        <v>4085</v>
      </c>
      <c r="F320" s="151">
        <f>C320-E320</f>
        <v>0</v>
      </c>
      <c r="G320" s="170" t="s">
        <v>312</v>
      </c>
      <c r="H320" s="172" t="s">
        <v>295</v>
      </c>
      <c r="I320" s="513"/>
      <c r="J320" s="174"/>
    </row>
    <row r="321" spans="1:10" x14ac:dyDescent="0.2">
      <c r="A321" s="150"/>
      <c r="B321" s="172" t="s">
        <v>11</v>
      </c>
      <c r="C321" s="171">
        <v>5000</v>
      </c>
      <c r="D321" s="172" t="s">
        <v>300</v>
      </c>
      <c r="E321" s="171">
        <v>5000</v>
      </c>
      <c r="F321" s="151">
        <f>C321-E321</f>
        <v>0</v>
      </c>
      <c r="G321" s="163" t="s">
        <v>342</v>
      </c>
      <c r="H321" s="176" t="s">
        <v>340</v>
      </c>
      <c r="I321" s="523"/>
      <c r="J321" s="177"/>
    </row>
    <row r="322" spans="1:10" x14ac:dyDescent="0.2">
      <c r="A322" s="150"/>
      <c r="B322" s="176" t="s">
        <v>10</v>
      </c>
      <c r="C322" s="175">
        <v>4600</v>
      </c>
      <c r="D322" s="176" t="s">
        <v>311</v>
      </c>
      <c r="E322" s="175">
        <v>4600</v>
      </c>
      <c r="F322" s="151">
        <f>C322-E322</f>
        <v>0</v>
      </c>
      <c r="G322" s="173" t="s">
        <v>415</v>
      </c>
      <c r="H322" s="173" t="s">
        <v>308</v>
      </c>
      <c r="I322" s="522"/>
      <c r="J322" s="179" t="s">
        <v>362</v>
      </c>
    </row>
    <row r="323" spans="1:10" ht="13.5" thickBot="1" x14ac:dyDescent="0.25">
      <c r="A323" s="28" t="s">
        <v>43</v>
      </c>
      <c r="B323" s="29"/>
      <c r="C323" s="56">
        <f>SUM(C302:C322)</f>
        <v>183840.08</v>
      </c>
      <c r="D323" s="29"/>
      <c r="E323" s="56">
        <f>SUM(E302:E322)</f>
        <v>138708.37</v>
      </c>
      <c r="F323" s="56">
        <f>SUM(F302:F322)</f>
        <v>-2.7284841053187847E-12</v>
      </c>
      <c r="G323" s="29"/>
      <c r="H323" s="29"/>
      <c r="I323" s="511"/>
      <c r="J323" s="30"/>
    </row>
    <row r="324" spans="1:10" ht="13.5" thickBot="1" x14ac:dyDescent="0.25">
      <c r="A324" s="18"/>
      <c r="B324" s="18"/>
      <c r="C324" s="74"/>
      <c r="D324" s="18"/>
      <c r="E324" s="74"/>
      <c r="F324" s="74"/>
      <c r="G324" s="18"/>
      <c r="H324" s="18"/>
      <c r="I324" s="18"/>
      <c r="J324" s="18"/>
    </row>
    <row r="325" spans="1:10" ht="21" thickBot="1" x14ac:dyDescent="0.25">
      <c r="A325" s="550" t="s">
        <v>117</v>
      </c>
      <c r="B325" s="551"/>
      <c r="C325" s="551"/>
      <c r="D325" s="551"/>
      <c r="E325" s="551"/>
      <c r="F325" s="551"/>
      <c r="G325" s="551"/>
      <c r="H325" s="551"/>
      <c r="I325" s="551"/>
      <c r="J325" s="552"/>
    </row>
    <row r="326" spans="1:10" ht="20.25" x14ac:dyDescent="0.3">
      <c r="A326" s="39"/>
      <c r="B326" s="13" t="s">
        <v>118</v>
      </c>
      <c r="C326" s="13" t="s">
        <v>119</v>
      </c>
      <c r="D326" s="13" t="s">
        <v>120</v>
      </c>
      <c r="E326" s="14"/>
      <c r="F326" s="14"/>
      <c r="G326" s="13"/>
      <c r="H326" s="13"/>
      <c r="I326" s="13"/>
      <c r="J326" s="37"/>
    </row>
    <row r="327" spans="1:10" ht="20.25" x14ac:dyDescent="0.3">
      <c r="A327" s="39" t="s">
        <v>57</v>
      </c>
      <c r="B327" s="88">
        <v>66125</v>
      </c>
      <c r="C327" s="88">
        <v>66125</v>
      </c>
      <c r="D327" s="88">
        <v>143750</v>
      </c>
      <c r="E327" s="14"/>
      <c r="F327" s="14"/>
      <c r="G327" s="13"/>
      <c r="H327" s="13"/>
      <c r="I327" s="13"/>
      <c r="J327" s="37"/>
    </row>
    <row r="328" spans="1:10" ht="20.25" x14ac:dyDescent="0.3">
      <c r="A328" s="39" t="s">
        <v>36</v>
      </c>
      <c r="B328" s="88">
        <v>0</v>
      </c>
      <c r="C328" s="88">
        <v>66125</v>
      </c>
      <c r="D328" s="88">
        <v>9616.31</v>
      </c>
      <c r="E328" s="14"/>
      <c r="F328" s="14"/>
      <c r="G328" s="13"/>
      <c r="H328" s="13"/>
      <c r="I328" s="13"/>
      <c r="J328" s="37"/>
    </row>
    <row r="329" spans="1:10" ht="20.25" x14ac:dyDescent="0.3">
      <c r="A329" s="39" t="s">
        <v>121</v>
      </c>
      <c r="B329" s="88">
        <f>SUM(B327:B328)</f>
        <v>66125</v>
      </c>
      <c r="C329" s="88">
        <f>SUM(C327:C328)</f>
        <v>132250</v>
      </c>
      <c r="D329" s="88">
        <f>SUM(D327:D328)</f>
        <v>153366.31</v>
      </c>
      <c r="E329" s="125" t="s">
        <v>107</v>
      </c>
      <c r="F329" s="14"/>
      <c r="G329" s="13"/>
      <c r="H329" s="13"/>
      <c r="I329" s="13"/>
      <c r="J329" s="37"/>
    </row>
    <row r="330" spans="1:10" x14ac:dyDescent="0.2">
      <c r="A330" s="39" t="s">
        <v>47</v>
      </c>
      <c r="B330" s="88">
        <v>0</v>
      </c>
      <c r="C330" s="88">
        <v>66125</v>
      </c>
      <c r="D330" s="88">
        <v>9616.31</v>
      </c>
      <c r="E330" s="553"/>
      <c r="F330" s="553"/>
      <c r="G330" s="553"/>
      <c r="H330" s="13"/>
      <c r="I330" s="13"/>
      <c r="J330" s="37"/>
    </row>
    <row r="331" spans="1:10" ht="20.25" x14ac:dyDescent="0.3">
      <c r="A331" s="39" t="s">
        <v>133</v>
      </c>
      <c r="B331" s="88">
        <f>B327+B330</f>
        <v>66125</v>
      </c>
      <c r="C331" s="88">
        <f>C327+C330</f>
        <v>132250</v>
      </c>
      <c r="D331" s="88">
        <f>D327+D330</f>
        <v>153366.31</v>
      </c>
      <c r="E331" s="146" t="s">
        <v>108</v>
      </c>
      <c r="F331" s="14"/>
      <c r="G331" s="13"/>
      <c r="H331" s="13"/>
      <c r="I331" s="13"/>
      <c r="J331" s="37"/>
    </row>
    <row r="332" spans="1:10" ht="20.25" x14ac:dyDescent="0.3">
      <c r="A332" s="39" t="s">
        <v>39</v>
      </c>
      <c r="B332" s="88">
        <f>B329-E337</f>
        <v>0</v>
      </c>
      <c r="C332" s="88">
        <f>C329-E340</f>
        <v>113095.58</v>
      </c>
      <c r="D332" s="88">
        <f>D329-E352</f>
        <v>9771.5499999999884</v>
      </c>
      <c r="E332" s="146" t="s">
        <v>109</v>
      </c>
      <c r="F332" s="14"/>
      <c r="G332" s="13"/>
      <c r="H332" s="13"/>
      <c r="I332" s="13"/>
      <c r="J332" s="37"/>
    </row>
    <row r="333" spans="1:10" x14ac:dyDescent="0.2">
      <c r="A333" s="39" t="s">
        <v>132</v>
      </c>
      <c r="B333" s="89">
        <f>B331-E337-F337</f>
        <v>0</v>
      </c>
      <c r="C333" s="89">
        <f>C331-E340-F340</f>
        <v>113095.58</v>
      </c>
      <c r="D333" s="90">
        <f>D331-E352-F352</f>
        <v>9771.5499999999884</v>
      </c>
      <c r="E333" s="554" t="s">
        <v>110</v>
      </c>
      <c r="F333" s="555"/>
      <c r="G333" s="555"/>
      <c r="H333" s="555"/>
      <c r="I333" s="140"/>
      <c r="J333" s="141"/>
    </row>
    <row r="334" spans="1:10" ht="21" thickBot="1" x14ac:dyDescent="0.35">
      <c r="A334" s="39"/>
      <c r="B334" s="13"/>
      <c r="C334" s="13"/>
      <c r="D334" s="13"/>
      <c r="E334" s="14"/>
      <c r="F334" s="14"/>
      <c r="G334" s="13"/>
      <c r="H334" s="13"/>
      <c r="I334" s="13"/>
      <c r="J334" s="37"/>
    </row>
    <row r="335" spans="1:10" ht="51" x14ac:dyDescent="0.2">
      <c r="A335" s="19" t="s">
        <v>41</v>
      </c>
      <c r="B335" s="20" t="s">
        <v>34</v>
      </c>
      <c r="C335" s="20" t="s">
        <v>64</v>
      </c>
      <c r="D335" s="20" t="s">
        <v>63</v>
      </c>
      <c r="E335" s="20" t="s">
        <v>37</v>
      </c>
      <c r="F335" s="20" t="s">
        <v>48</v>
      </c>
      <c r="G335" s="20" t="s">
        <v>40</v>
      </c>
      <c r="H335" s="20" t="s">
        <v>38</v>
      </c>
      <c r="I335" s="20"/>
      <c r="J335" s="21" t="s">
        <v>5</v>
      </c>
    </row>
    <row r="336" spans="1:10" x14ac:dyDescent="0.2">
      <c r="A336" s="22" t="s">
        <v>10</v>
      </c>
      <c r="B336" s="23" t="s">
        <v>10</v>
      </c>
      <c r="C336" s="57">
        <v>66125</v>
      </c>
      <c r="D336" s="50">
        <v>42006</v>
      </c>
      <c r="E336" s="57">
        <v>66125</v>
      </c>
      <c r="F336" s="57">
        <f>IF(E336="",C336,0)</f>
        <v>0</v>
      </c>
      <c r="G336" s="23" t="s">
        <v>175</v>
      </c>
      <c r="H336" s="23" t="s">
        <v>136</v>
      </c>
      <c r="I336" s="503"/>
      <c r="J336" s="24"/>
    </row>
    <row r="337" spans="1:10" x14ac:dyDescent="0.2">
      <c r="A337" s="25" t="s">
        <v>43</v>
      </c>
      <c r="B337" s="26"/>
      <c r="C337" s="60">
        <f>C336</f>
        <v>66125</v>
      </c>
      <c r="D337" s="26"/>
      <c r="E337" s="60">
        <f>E336</f>
        <v>66125</v>
      </c>
      <c r="F337" s="60">
        <f>F336</f>
        <v>0</v>
      </c>
      <c r="G337" s="26"/>
      <c r="H337" s="26"/>
      <c r="I337" s="505"/>
      <c r="J337" s="27"/>
    </row>
    <row r="338" spans="1:10" x14ac:dyDescent="0.2">
      <c r="A338" s="33"/>
      <c r="B338" s="33"/>
      <c r="C338" s="59"/>
      <c r="D338" s="33"/>
      <c r="E338" s="59"/>
      <c r="F338" s="59"/>
      <c r="G338" s="33"/>
      <c r="H338" s="33"/>
      <c r="I338" s="33"/>
      <c r="J338" s="33"/>
    </row>
    <row r="339" spans="1:10" x14ac:dyDescent="0.2">
      <c r="A339" s="25" t="s">
        <v>44</v>
      </c>
      <c r="B339" s="26" t="s">
        <v>11</v>
      </c>
      <c r="C339" s="58">
        <v>19154.419999999998</v>
      </c>
      <c r="D339" s="55">
        <v>42416</v>
      </c>
      <c r="E339" s="58">
        <v>19154.419999999998</v>
      </c>
      <c r="F339" s="58"/>
      <c r="G339" s="51" t="s">
        <v>253</v>
      </c>
      <c r="H339" s="26" t="s">
        <v>239</v>
      </c>
      <c r="I339" s="505"/>
      <c r="J339" s="43"/>
    </row>
    <row r="340" spans="1:10" x14ac:dyDescent="0.2">
      <c r="A340" s="25" t="s">
        <v>43</v>
      </c>
      <c r="B340" s="26"/>
      <c r="C340" s="60">
        <f>C339</f>
        <v>19154.419999999998</v>
      </c>
      <c r="D340" s="26"/>
      <c r="E340" s="60">
        <f>E339</f>
        <v>19154.419999999998</v>
      </c>
      <c r="F340" s="60">
        <f>F339</f>
        <v>0</v>
      </c>
      <c r="G340" s="26"/>
      <c r="H340" s="26"/>
      <c r="I340" s="505"/>
      <c r="J340" s="27"/>
    </row>
    <row r="341" spans="1:10" x14ac:dyDescent="0.2">
      <c r="A341" s="33"/>
      <c r="B341" s="33"/>
      <c r="C341" s="59"/>
      <c r="D341" s="33"/>
      <c r="E341" s="59"/>
      <c r="F341" s="59"/>
      <c r="G341" s="469"/>
      <c r="H341" s="469"/>
      <c r="I341" s="469"/>
      <c r="J341" s="33"/>
    </row>
    <row r="342" spans="1:10" x14ac:dyDescent="0.2">
      <c r="A342" s="25" t="s">
        <v>42</v>
      </c>
      <c r="B342" s="26"/>
      <c r="C342" s="58"/>
      <c r="D342" s="55"/>
      <c r="E342" s="58"/>
      <c r="F342" s="151">
        <f>C342-E342</f>
        <v>0</v>
      </c>
      <c r="G342" s="26"/>
      <c r="H342" s="26"/>
      <c r="I342" s="232"/>
      <c r="J342" s="152"/>
    </row>
    <row r="343" spans="1:10" x14ac:dyDescent="0.2">
      <c r="A343" s="556"/>
      <c r="B343" s="559" t="s">
        <v>11</v>
      </c>
      <c r="C343" s="562">
        <v>17500</v>
      </c>
      <c r="D343" s="565" t="s">
        <v>141</v>
      </c>
      <c r="E343" s="151">
        <v>9491.01</v>
      </c>
      <c r="F343" s="151"/>
      <c r="G343" s="51" t="s">
        <v>190</v>
      </c>
      <c r="H343" s="559" t="s">
        <v>135</v>
      </c>
      <c r="I343" s="524"/>
      <c r="J343" s="154" t="s">
        <v>189</v>
      </c>
    </row>
    <row r="344" spans="1:10" x14ac:dyDescent="0.2">
      <c r="A344" s="557"/>
      <c r="B344" s="560"/>
      <c r="C344" s="563"/>
      <c r="D344" s="560"/>
      <c r="E344" s="566">
        <v>7551.75</v>
      </c>
      <c r="F344" s="157">
        <f>8008.99-E344</f>
        <v>457.23999999999978</v>
      </c>
      <c r="G344" s="568" t="s">
        <v>241</v>
      </c>
      <c r="H344" s="560"/>
      <c r="I344" s="276"/>
      <c r="J344" s="153" t="s">
        <v>100</v>
      </c>
    </row>
    <row r="345" spans="1:10" x14ac:dyDescent="0.2">
      <c r="A345" s="558"/>
      <c r="B345" s="561"/>
      <c r="C345" s="564"/>
      <c r="D345" s="561"/>
      <c r="E345" s="567"/>
      <c r="F345" s="157">
        <v>-457.24</v>
      </c>
      <c r="G345" s="561"/>
      <c r="H345" s="561"/>
      <c r="I345" s="276"/>
      <c r="J345" s="153" t="s">
        <v>99</v>
      </c>
    </row>
    <row r="346" spans="1:10" x14ac:dyDescent="0.2">
      <c r="A346" s="150"/>
      <c r="B346" s="145" t="s">
        <v>10</v>
      </c>
      <c r="C346" s="151">
        <v>8000</v>
      </c>
      <c r="D346" s="53" t="s">
        <v>148</v>
      </c>
      <c r="E346" s="151">
        <v>8000</v>
      </c>
      <c r="F346" s="151">
        <f>C346-E346</f>
        <v>0</v>
      </c>
      <c r="G346" s="145" t="s">
        <v>183</v>
      </c>
      <c r="H346" s="145" t="s">
        <v>147</v>
      </c>
      <c r="I346" s="506"/>
      <c r="J346" s="42"/>
    </row>
    <row r="347" spans="1:10" x14ac:dyDescent="0.2">
      <c r="A347" s="150"/>
      <c r="B347" s="145" t="s">
        <v>10</v>
      </c>
      <c r="C347" s="151">
        <v>50000</v>
      </c>
      <c r="D347" s="53" t="s">
        <v>152</v>
      </c>
      <c r="E347" s="151">
        <v>50000</v>
      </c>
      <c r="F347" s="151">
        <f>C347-E347</f>
        <v>0</v>
      </c>
      <c r="G347" s="145" t="s">
        <v>177</v>
      </c>
      <c r="H347" s="145" t="s">
        <v>150</v>
      </c>
      <c r="I347" s="506"/>
      <c r="J347" s="42"/>
    </row>
    <row r="348" spans="1:10" x14ac:dyDescent="0.2">
      <c r="A348" s="150"/>
      <c r="B348" s="145" t="s">
        <v>10</v>
      </c>
      <c r="C348" s="151">
        <v>10000</v>
      </c>
      <c r="D348" s="53" t="s">
        <v>154</v>
      </c>
      <c r="E348" s="151">
        <v>10000</v>
      </c>
      <c r="F348" s="151">
        <f>C348-E348</f>
        <v>0</v>
      </c>
      <c r="G348" s="145" t="s">
        <v>195</v>
      </c>
      <c r="H348" s="145" t="s">
        <v>151</v>
      </c>
      <c r="I348" s="506"/>
      <c r="J348" s="42"/>
    </row>
    <row r="349" spans="1:10" x14ac:dyDescent="0.2">
      <c r="A349" s="150"/>
      <c r="B349" s="145" t="s">
        <v>11</v>
      </c>
      <c r="C349" s="151">
        <v>54552</v>
      </c>
      <c r="D349" s="53" t="s">
        <v>153</v>
      </c>
      <c r="E349" s="151">
        <v>54552</v>
      </c>
      <c r="F349" s="151">
        <f>C349-E349</f>
        <v>0</v>
      </c>
      <c r="G349" s="145" t="s">
        <v>184</v>
      </c>
      <c r="H349" s="145" t="s">
        <v>150</v>
      </c>
      <c r="I349" s="506"/>
      <c r="J349" s="42"/>
    </row>
    <row r="350" spans="1:10" x14ac:dyDescent="0.2">
      <c r="A350" s="150"/>
      <c r="B350" s="145" t="s">
        <v>11</v>
      </c>
      <c r="C350" s="151">
        <v>4000</v>
      </c>
      <c r="D350" s="53" t="s">
        <v>157</v>
      </c>
      <c r="E350" s="151">
        <v>4000</v>
      </c>
      <c r="F350" s="151">
        <f>C350-E350</f>
        <v>0</v>
      </c>
      <c r="G350" s="145" t="s">
        <v>187</v>
      </c>
      <c r="H350" s="145" t="s">
        <v>151</v>
      </c>
      <c r="I350" s="506"/>
      <c r="J350" s="42"/>
    </row>
    <row r="351" spans="1:10" x14ac:dyDescent="0.2">
      <c r="A351" s="150"/>
      <c r="B351" s="158"/>
      <c r="C351" s="157"/>
      <c r="D351" s="156"/>
      <c r="E351" s="151"/>
      <c r="F351" s="151"/>
      <c r="G351" s="145"/>
      <c r="H351" s="145"/>
      <c r="I351" s="506"/>
      <c r="J351" s="159"/>
    </row>
    <row r="352" spans="1:10" ht="13.5" thickBot="1" x14ac:dyDescent="0.25">
      <c r="A352" s="28" t="s">
        <v>43</v>
      </c>
      <c r="B352" s="29"/>
      <c r="C352" s="56">
        <f>SUM(C342:C351)</f>
        <v>144052</v>
      </c>
      <c r="D352" s="29"/>
      <c r="E352" s="56">
        <f>SUM(E342:E351)</f>
        <v>143594.76</v>
      </c>
      <c r="F352" s="56">
        <f>SUM(F342:F351)</f>
        <v>-2.2737367544323206E-13</v>
      </c>
      <c r="G352" s="29"/>
      <c r="H352" s="29"/>
      <c r="I352" s="511"/>
      <c r="J352" s="30"/>
    </row>
    <row r="354" spans="1:15" ht="18.75" customHeight="1" x14ac:dyDescent="0.3">
      <c r="A354" s="11"/>
      <c r="B354" s="11"/>
      <c r="C354" s="11"/>
      <c r="D354" s="11"/>
      <c r="E354" s="11"/>
      <c r="F354" s="11"/>
      <c r="G354" s="11"/>
      <c r="H354" s="11"/>
      <c r="I354" s="11"/>
      <c r="J354" s="11"/>
      <c r="L354" s="9"/>
      <c r="M354" s="9"/>
      <c r="N354" s="9"/>
      <c r="O354" s="9"/>
    </row>
  </sheetData>
  <mergeCells count="66">
    <mergeCell ref="A2:J2"/>
    <mergeCell ref="A39:J39"/>
    <mergeCell ref="A69:J69"/>
    <mergeCell ref="A100:J100"/>
    <mergeCell ref="E105:G105"/>
    <mergeCell ref="E108:H108"/>
    <mergeCell ref="A127:J127"/>
    <mergeCell ref="E132:G132"/>
    <mergeCell ref="E135:H135"/>
    <mergeCell ref="A156:J156"/>
    <mergeCell ref="E161:G161"/>
    <mergeCell ref="E164:H164"/>
    <mergeCell ref="A193:J193"/>
    <mergeCell ref="E198:G198"/>
    <mergeCell ref="E201:H201"/>
    <mergeCell ref="A225:J225"/>
    <mergeCell ref="E230:G230"/>
    <mergeCell ref="E233:H233"/>
    <mergeCell ref="A254:J254"/>
    <mergeCell ref="E259:G259"/>
    <mergeCell ref="E262:H262"/>
    <mergeCell ref="A285:J285"/>
    <mergeCell ref="E290:G290"/>
    <mergeCell ref="E293:H293"/>
    <mergeCell ref="B303:B304"/>
    <mergeCell ref="C303:C304"/>
    <mergeCell ref="D303:D304"/>
    <mergeCell ref="E303:E304"/>
    <mergeCell ref="G303:G304"/>
    <mergeCell ref="H303:H304"/>
    <mergeCell ref="B305:B306"/>
    <mergeCell ref="C305:C306"/>
    <mergeCell ref="D305:D306"/>
    <mergeCell ref="E305:E306"/>
    <mergeCell ref="G305:G306"/>
    <mergeCell ref="H305:H306"/>
    <mergeCell ref="D309:D310"/>
    <mergeCell ref="E309:E310"/>
    <mergeCell ref="G309:G310"/>
    <mergeCell ref="H309:H310"/>
    <mergeCell ref="H307:H308"/>
    <mergeCell ref="B307:B308"/>
    <mergeCell ref="C307:C308"/>
    <mergeCell ref="D307:D308"/>
    <mergeCell ref="E307:E308"/>
    <mergeCell ref="G307:G308"/>
    <mergeCell ref="J309:J310"/>
    <mergeCell ref="B318:B319"/>
    <mergeCell ref="C318:C319"/>
    <mergeCell ref="D318:D319"/>
    <mergeCell ref="E318:E319"/>
    <mergeCell ref="G318:G319"/>
    <mergeCell ref="H318:H319"/>
    <mergeCell ref="J318:J319"/>
    <mergeCell ref="B309:B310"/>
    <mergeCell ref="C309:C310"/>
    <mergeCell ref="A325:J325"/>
    <mergeCell ref="E330:G330"/>
    <mergeCell ref="E333:H333"/>
    <mergeCell ref="A343:A345"/>
    <mergeCell ref="B343:B345"/>
    <mergeCell ref="C343:C345"/>
    <mergeCell ref="D343:D345"/>
    <mergeCell ref="H343:H345"/>
    <mergeCell ref="E344:E345"/>
    <mergeCell ref="G344:G345"/>
  </mergeCells>
  <hyperlinks>
    <hyperlink ref="G58" r:id="rId1" xr:uid="{E340752D-BBAD-4D1A-AD51-7728864A5ADC}"/>
    <hyperlink ref="G57" r:id="rId2" xr:uid="{D777B7E6-E395-4EC3-BA5A-26A7A0869ECA}"/>
    <hyperlink ref="G12" r:id="rId3" xr:uid="{40D587E8-2E69-467E-8D85-2A03FBA0757B}"/>
    <hyperlink ref="G16" r:id="rId4" xr:uid="{4BB966A2-79C6-4BC3-B4A4-CBAD6DEFE3E1}"/>
    <hyperlink ref="D20" r:id="rId5" xr:uid="{B2489487-985E-43DA-8520-CDD1B6CED2F5}"/>
    <hyperlink ref="D22" r:id="rId6" xr:uid="{A287CD46-BF19-440D-A95F-2F47CF95A055}"/>
    <hyperlink ref="D21" r:id="rId7" xr:uid="{41FA5E90-FBFC-49AC-9060-ED1C365C2AAB}"/>
    <hyperlink ref="D23" r:id="rId8" xr:uid="{EDC9247D-D449-4D10-B821-1411CAA91DEE}"/>
    <hyperlink ref="D24" r:id="rId9" xr:uid="{689EC78B-1999-4200-B17D-51E80987BBC9}"/>
    <hyperlink ref="G13" r:id="rId10" xr:uid="{EC770980-F026-4105-8BBC-D5F8066CEDB6}"/>
    <hyperlink ref="D25" r:id="rId11" xr:uid="{2C860BFA-2542-4FFC-BCBC-3EB08EAC2C8B}"/>
    <hyperlink ref="D34" r:id="rId12" xr:uid="{50676E17-129F-4DF4-BEF4-09FE8333A371}"/>
    <hyperlink ref="D35" r:id="rId13" xr:uid="{3532C159-86F5-4EA2-B453-1DE66BF3E193}"/>
    <hyperlink ref="G22" r:id="rId14" xr:uid="{E0B82BA6-0864-4BF9-BCF6-4A82B4C1B812}"/>
  </hyperlinks>
  <pageMargins left="0.69" right="0.28999999999999998" top="0.48" bottom="0.44" header="0.25" footer="0.4"/>
  <pageSetup scale="68" orientation="landscape" r:id="rId15"/>
  <headerFooter alignWithMargins="0">
    <oddFooter>&amp;CCurrent as of &amp;D</oddFooter>
  </headerFooter>
  <rowBreaks count="6" manualBreakCount="6">
    <brk id="67" max="16383" man="1"/>
    <brk id="223" max="16383" man="1"/>
    <brk id="252" max="16383" man="1"/>
    <brk id="283" max="16383" man="1"/>
    <brk id="323" max="16383" man="1"/>
    <brk id="352" max="16383" man="1"/>
  </rowBreaks>
  <drawing r:id="rId16"/>
  <legacy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4"/>
  <sheetViews>
    <sheetView showGridLines="0" zoomScaleNormal="100" zoomScaleSheetLayoutView="75" workbookViewId="0">
      <selection activeCell="F19" sqref="F19"/>
    </sheetView>
  </sheetViews>
  <sheetFormatPr defaultRowHeight="12.75" x14ac:dyDescent="0.2"/>
  <cols>
    <col min="1" max="1" width="22.28515625" bestFit="1" customWidth="1"/>
    <col min="2" max="3" width="17" customWidth="1"/>
    <col min="4" max="4" width="12.85546875" customWidth="1"/>
    <col min="5" max="5" width="18.85546875" bestFit="1" customWidth="1"/>
    <col min="6" max="7" width="14.28515625" customWidth="1"/>
    <col min="8" max="8" width="11.5703125" bestFit="1" customWidth="1"/>
    <col min="9" max="9" width="43.140625" customWidth="1"/>
    <col min="10" max="10" width="23" customWidth="1"/>
  </cols>
  <sheetData>
    <row r="1" spans="1:9" ht="21" thickBot="1" x14ac:dyDescent="0.25">
      <c r="A1" s="550" t="s">
        <v>1233</v>
      </c>
      <c r="B1" s="551"/>
      <c r="C1" s="551"/>
      <c r="D1" s="551"/>
      <c r="E1" s="551"/>
      <c r="F1" s="551"/>
      <c r="G1" s="551"/>
      <c r="H1" s="551"/>
      <c r="I1" s="552"/>
    </row>
    <row r="2" spans="1:9" x14ac:dyDescent="0.2">
      <c r="A2" s="39"/>
      <c r="B2" s="13" t="s">
        <v>1245</v>
      </c>
      <c r="C2" s="13" t="s">
        <v>1246</v>
      </c>
      <c r="D2" s="87" t="s">
        <v>1247</v>
      </c>
      <c r="E2" s="13" t="s">
        <v>1248</v>
      </c>
      <c r="F2" s="13"/>
      <c r="G2" s="13"/>
      <c r="H2" s="13"/>
      <c r="I2" s="37"/>
    </row>
    <row r="3" spans="1:9" x14ac:dyDescent="0.2">
      <c r="A3" s="39" t="s">
        <v>991</v>
      </c>
      <c r="B3" s="205">
        <f>B39+(B39*0.03)</f>
        <v>123376.3046</v>
      </c>
      <c r="C3" s="205">
        <v>81868</v>
      </c>
      <c r="D3" s="205">
        <f>D39+(D39*0.03)</f>
        <v>175380.56170000002</v>
      </c>
      <c r="E3" s="205">
        <v>10000</v>
      </c>
      <c r="F3" s="146" t="s">
        <v>972</v>
      </c>
      <c r="G3" s="13"/>
      <c r="H3" s="13"/>
      <c r="I3" s="155" t="s">
        <v>973</v>
      </c>
    </row>
    <row r="4" spans="1:9" x14ac:dyDescent="0.2">
      <c r="A4" s="39" t="s">
        <v>36</v>
      </c>
      <c r="B4" s="88">
        <f>IF(B44&gt;1116294,116294,B44)</f>
        <v>0</v>
      </c>
      <c r="C4" s="88">
        <f>IF(OR(C45&gt;=C3,C45&lt;C3),C3,C45)</f>
        <v>81868</v>
      </c>
      <c r="D4" s="88">
        <f>IF(OR(D44&gt;=D3,D44&lt;D3),D44,D3)</f>
        <v>357.9999999999709</v>
      </c>
      <c r="E4" s="88"/>
      <c r="F4" s="13"/>
      <c r="G4" s="13"/>
      <c r="H4" s="13"/>
      <c r="I4" s="484"/>
    </row>
    <row r="5" spans="1:9" x14ac:dyDescent="0.2">
      <c r="A5" s="39" t="s">
        <v>992</v>
      </c>
      <c r="B5" s="88">
        <f>SUM(B3:B4)</f>
        <v>123376.3046</v>
      </c>
      <c r="C5" s="88">
        <f>SUM(C3:C4)</f>
        <v>163736</v>
      </c>
      <c r="D5" s="88">
        <f>SUM(D3:D4)</f>
        <v>175738.56169999999</v>
      </c>
      <c r="E5" s="88">
        <f>SUM(E3:E4)</f>
        <v>10000</v>
      </c>
      <c r="F5" s="125" t="s">
        <v>107</v>
      </c>
      <c r="G5" s="13"/>
      <c r="H5" s="13"/>
      <c r="I5" s="37"/>
    </row>
    <row r="6" spans="1:9" x14ac:dyDescent="0.2">
      <c r="A6" s="39" t="s">
        <v>47</v>
      </c>
      <c r="B6" s="88">
        <f>B44</f>
        <v>0</v>
      </c>
      <c r="C6" s="88">
        <f>IF(C45&gt;C4,C4,C45)</f>
        <v>70817.262749999994</v>
      </c>
      <c r="D6" s="88">
        <f>IF(D45&gt;D39,D39,D45)</f>
        <v>357.9999999999709</v>
      </c>
      <c r="E6" s="88"/>
      <c r="F6" s="88"/>
      <c r="G6" s="88"/>
      <c r="H6" s="88"/>
      <c r="I6" s="88"/>
    </row>
    <row r="7" spans="1:9" x14ac:dyDescent="0.2">
      <c r="A7" s="39" t="s">
        <v>479</v>
      </c>
      <c r="B7" s="88">
        <f>B3+B6</f>
        <v>123376.3046</v>
      </c>
      <c r="C7" s="88">
        <f>C3+C6</f>
        <v>152685.26274999999</v>
      </c>
      <c r="D7" s="88">
        <f>D3+D6</f>
        <v>175738.56169999999</v>
      </c>
      <c r="E7" s="88">
        <f>E3+E6</f>
        <v>10000</v>
      </c>
      <c r="F7" s="146" t="s">
        <v>108</v>
      </c>
      <c r="G7" s="13"/>
      <c r="H7" s="13"/>
      <c r="I7" s="37"/>
    </row>
    <row r="8" spans="1:9" x14ac:dyDescent="0.2">
      <c r="A8" s="39" t="s">
        <v>39</v>
      </c>
      <c r="B8" s="88">
        <f>B5-E13</f>
        <v>0</v>
      </c>
      <c r="C8" s="88">
        <f>C5-E17</f>
        <v>99759.93</v>
      </c>
      <c r="D8" s="88">
        <f>D5-E30</f>
        <v>107869.28169999999</v>
      </c>
      <c r="E8" s="88">
        <f>E5-F30</f>
        <v>10000</v>
      </c>
      <c r="F8" s="146" t="s">
        <v>109</v>
      </c>
      <c r="G8" s="13"/>
      <c r="H8" s="13"/>
      <c r="I8" s="37"/>
    </row>
    <row r="9" spans="1:9" x14ac:dyDescent="0.2">
      <c r="A9" s="39" t="s">
        <v>132</v>
      </c>
      <c r="B9" s="296">
        <f>B7-E13-G13</f>
        <v>0</v>
      </c>
      <c r="C9" s="297">
        <f>C7-E17-G17</f>
        <v>88709.192749999987</v>
      </c>
      <c r="D9" s="297">
        <f>D7-E30-G30</f>
        <v>869.28169999999227</v>
      </c>
      <c r="E9" s="297">
        <f>E7-E35-G35</f>
        <v>10000</v>
      </c>
      <c r="F9" s="146" t="s">
        <v>110</v>
      </c>
      <c r="H9" s="140"/>
      <c r="I9" s="37"/>
    </row>
    <row r="10" spans="1:9" ht="21" thickBot="1" x14ac:dyDescent="0.35">
      <c r="A10" s="39"/>
      <c r="B10" s="13"/>
      <c r="C10" s="13"/>
      <c r="D10" s="13"/>
      <c r="E10" s="14"/>
      <c r="F10" s="13"/>
      <c r="G10" s="13"/>
      <c r="H10" s="13"/>
      <c r="I10" s="37"/>
    </row>
    <row r="11" spans="1:9" ht="51" x14ac:dyDescent="0.2">
      <c r="A11" s="15" t="s">
        <v>41</v>
      </c>
      <c r="B11" s="16" t="s">
        <v>34</v>
      </c>
      <c r="C11" s="20" t="s">
        <v>64</v>
      </c>
      <c r="D11" s="20" t="s">
        <v>63</v>
      </c>
      <c r="E11" s="16" t="s">
        <v>37</v>
      </c>
      <c r="F11" s="16" t="s">
        <v>40</v>
      </c>
      <c r="G11" s="16" t="s">
        <v>46</v>
      </c>
      <c r="H11" s="16" t="s">
        <v>38</v>
      </c>
      <c r="I11" s="17" t="s">
        <v>5</v>
      </c>
    </row>
    <row r="12" spans="1:9" x14ac:dyDescent="0.2">
      <c r="A12" s="31"/>
      <c r="B12" s="23"/>
      <c r="C12" s="57">
        <v>123376.3046</v>
      </c>
      <c r="D12" s="50"/>
      <c r="E12" s="57">
        <v>123376.3046</v>
      </c>
      <c r="F12" s="485" t="s">
        <v>1242</v>
      </c>
      <c r="G12" s="485"/>
      <c r="H12" s="23"/>
      <c r="I12" s="24"/>
    </row>
    <row r="13" spans="1:9" x14ac:dyDescent="0.2">
      <c r="A13" s="25" t="s">
        <v>43</v>
      </c>
      <c r="B13" s="26"/>
      <c r="C13" s="61">
        <f>C12</f>
        <v>123376.3046</v>
      </c>
      <c r="D13" s="26"/>
      <c r="E13" s="61">
        <f>E12</f>
        <v>123376.3046</v>
      </c>
      <c r="F13" s="26"/>
      <c r="G13" s="58"/>
      <c r="H13" s="26"/>
      <c r="I13" s="27"/>
    </row>
    <row r="14" spans="1:9" x14ac:dyDescent="0.2">
      <c r="A14" s="33"/>
      <c r="B14" s="33"/>
      <c r="C14" s="59"/>
      <c r="D14" s="33"/>
      <c r="E14" s="59"/>
      <c r="F14" s="33"/>
      <c r="G14" s="59"/>
      <c r="H14" s="33"/>
      <c r="I14" s="33"/>
    </row>
    <row r="15" spans="1:9" x14ac:dyDescent="0.2">
      <c r="A15" s="32" t="s">
        <v>44</v>
      </c>
      <c r="B15" s="26"/>
      <c r="C15" s="456"/>
      <c r="D15" s="50"/>
      <c r="E15" s="457">
        <v>63976.07</v>
      </c>
      <c r="F15" s="26"/>
      <c r="G15" s="456" t="s">
        <v>1254</v>
      </c>
      <c r="H15" s="26"/>
      <c r="I15" s="43"/>
    </row>
    <row r="16" spans="1:9" x14ac:dyDescent="0.2">
      <c r="A16" s="32"/>
      <c r="B16" s="26"/>
      <c r="C16" s="261"/>
      <c r="D16" s="262"/>
      <c r="E16" s="261"/>
      <c r="F16" s="460"/>
      <c r="G16" s="261"/>
      <c r="H16" s="26"/>
      <c r="I16" s="43"/>
    </row>
    <row r="17" spans="1:9" x14ac:dyDescent="0.2">
      <c r="A17" s="25" t="s">
        <v>43</v>
      </c>
      <c r="B17" s="26"/>
      <c r="C17" s="60">
        <f>C15+C16</f>
        <v>0</v>
      </c>
      <c r="D17" s="26"/>
      <c r="E17" s="60">
        <f>E15+E16</f>
        <v>63976.07</v>
      </c>
      <c r="F17" s="26"/>
      <c r="G17" s="60">
        <f>SUM(G15:G16)</f>
        <v>0</v>
      </c>
      <c r="H17" s="26"/>
      <c r="I17" s="27"/>
    </row>
    <row r="18" spans="1:9" x14ac:dyDescent="0.2">
      <c r="A18" s="33"/>
      <c r="B18" s="33"/>
      <c r="C18" s="59"/>
      <c r="D18" s="469"/>
      <c r="E18" s="318"/>
      <c r="F18" s="469"/>
      <c r="G18" s="59"/>
      <c r="H18" s="33"/>
      <c r="I18" s="33"/>
    </row>
    <row r="19" spans="1:9" x14ac:dyDescent="0.2">
      <c r="A19" s="32" t="s">
        <v>42</v>
      </c>
      <c r="B19" s="135" t="s">
        <v>532</v>
      </c>
      <c r="C19" s="489">
        <v>47869.279999999999</v>
      </c>
      <c r="D19" s="468" t="s">
        <v>1261</v>
      </c>
      <c r="E19" s="492">
        <v>47869.279999999999</v>
      </c>
      <c r="F19" s="528" t="s">
        <v>1286</v>
      </c>
      <c r="G19" s="492"/>
      <c r="H19" s="135" t="s">
        <v>1259</v>
      </c>
      <c r="I19" s="27"/>
    </row>
    <row r="20" spans="1:9" x14ac:dyDescent="0.2">
      <c r="A20" s="147"/>
      <c r="B20" s="135" t="s">
        <v>532</v>
      </c>
      <c r="C20" s="490">
        <v>20000</v>
      </c>
      <c r="D20" s="468" t="s">
        <v>1262</v>
      </c>
      <c r="E20" s="143"/>
      <c r="F20" s="143"/>
      <c r="G20" s="493">
        <v>20000</v>
      </c>
      <c r="H20" s="135" t="s">
        <v>688</v>
      </c>
      <c r="I20" s="42"/>
    </row>
    <row r="21" spans="1:9" x14ac:dyDescent="0.2">
      <c r="A21" s="147"/>
      <c r="B21" s="135"/>
      <c r="C21" s="490"/>
      <c r="D21" s="468"/>
      <c r="E21" s="143"/>
      <c r="F21" s="143"/>
      <c r="G21" s="143"/>
      <c r="H21" s="135"/>
      <c r="I21" s="42"/>
    </row>
    <row r="22" spans="1:9" x14ac:dyDescent="0.2">
      <c r="A22" s="147"/>
      <c r="B22" s="135" t="s">
        <v>532</v>
      </c>
      <c r="C22" s="490">
        <v>20000</v>
      </c>
      <c r="D22" s="468" t="s">
        <v>1264</v>
      </c>
      <c r="E22" s="143">
        <v>20000</v>
      </c>
      <c r="F22" s="468" t="s">
        <v>1279</v>
      </c>
      <c r="G22" s="143"/>
      <c r="H22" s="135" t="s">
        <v>1260</v>
      </c>
      <c r="I22" s="42"/>
    </row>
    <row r="23" spans="1:9" x14ac:dyDescent="0.2">
      <c r="A23" s="147"/>
      <c r="B23" s="135" t="s">
        <v>10</v>
      </c>
      <c r="C23" s="490">
        <v>40000</v>
      </c>
      <c r="D23" s="468" t="s">
        <v>1275</v>
      </c>
      <c r="E23" s="143"/>
      <c r="F23" s="143"/>
      <c r="G23" s="143">
        <v>40000</v>
      </c>
      <c r="H23" s="135" t="s">
        <v>1260</v>
      </c>
      <c r="I23" s="42"/>
    </row>
    <row r="24" spans="1:9" x14ac:dyDescent="0.2">
      <c r="A24" s="147"/>
      <c r="B24" s="135" t="s">
        <v>10</v>
      </c>
      <c r="C24" s="489">
        <v>25000</v>
      </c>
      <c r="D24" s="468" t="s">
        <v>1276</v>
      </c>
      <c r="E24" s="143"/>
      <c r="F24" s="143"/>
      <c r="G24" s="491">
        <v>25000</v>
      </c>
      <c r="H24" s="135" t="s">
        <v>1259</v>
      </c>
      <c r="I24" s="42"/>
    </row>
    <row r="25" spans="1:9" x14ac:dyDescent="0.2">
      <c r="A25" s="147"/>
      <c r="B25" s="135" t="s">
        <v>10</v>
      </c>
      <c r="C25" s="489">
        <v>22000</v>
      </c>
      <c r="D25" s="468" t="s">
        <v>1282</v>
      </c>
      <c r="E25" s="143"/>
      <c r="F25" s="143"/>
      <c r="G25" s="491">
        <v>22000</v>
      </c>
      <c r="H25" s="135" t="s">
        <v>1280</v>
      </c>
      <c r="I25" s="42"/>
    </row>
    <row r="26" spans="1:9" x14ac:dyDescent="0.2">
      <c r="A26" s="137"/>
      <c r="B26" s="145"/>
      <c r="C26" s="494"/>
      <c r="D26" s="143"/>
      <c r="E26" s="143"/>
      <c r="F26" s="143"/>
      <c r="G26" s="493"/>
      <c r="H26" s="145"/>
      <c r="I26" s="144"/>
    </row>
    <row r="27" spans="1:9" x14ac:dyDescent="0.2">
      <c r="A27" s="137"/>
      <c r="B27" s="145"/>
      <c r="C27" s="143"/>
      <c r="D27" s="53"/>
      <c r="E27" s="82"/>
      <c r="F27" s="52"/>
      <c r="G27" s="143"/>
      <c r="H27" s="145"/>
      <c r="I27" s="144"/>
    </row>
    <row r="28" spans="1:9" x14ac:dyDescent="0.2">
      <c r="A28" s="137"/>
      <c r="B28" s="145"/>
      <c r="C28" s="143"/>
      <c r="D28" s="53"/>
      <c r="E28" s="82"/>
      <c r="F28" s="52"/>
      <c r="G28" s="143"/>
      <c r="H28" s="145"/>
      <c r="I28" s="144"/>
    </row>
    <row r="29" spans="1:9" x14ac:dyDescent="0.2">
      <c r="A29" s="137"/>
      <c r="B29" s="293"/>
      <c r="C29" s="294"/>
      <c r="D29" s="53"/>
      <c r="E29" s="82"/>
      <c r="F29" s="52"/>
      <c r="G29" s="294"/>
      <c r="H29" s="293"/>
      <c r="I29" s="144"/>
    </row>
    <row r="30" spans="1:9" ht="13.5" thickBot="1" x14ac:dyDescent="0.25">
      <c r="A30" s="28" t="s">
        <v>43</v>
      </c>
      <c r="B30" s="29"/>
      <c r="C30" s="56">
        <f>SUM(C19:C29)</f>
        <v>174869.28</v>
      </c>
      <c r="D30" s="29"/>
      <c r="E30" s="56">
        <f>SUM(E19:E29)</f>
        <v>67869.279999999999</v>
      </c>
      <c r="F30" s="54"/>
      <c r="G30" s="56">
        <f>SUM(G19:G29)</f>
        <v>107000</v>
      </c>
      <c r="H30" s="309"/>
      <c r="I30" s="295"/>
    </row>
    <row r="31" spans="1:9" x14ac:dyDescent="0.2">
      <c r="A31" s="310"/>
      <c r="B31" s="310"/>
      <c r="C31" s="311"/>
      <c r="D31" s="310"/>
      <c r="E31" s="311"/>
      <c r="F31" s="312"/>
      <c r="G31" s="311"/>
      <c r="H31" s="313"/>
      <c r="I31" s="307"/>
    </row>
    <row r="32" spans="1:9" x14ac:dyDescent="0.2">
      <c r="A32" s="32" t="s">
        <v>975</v>
      </c>
      <c r="B32" s="135"/>
      <c r="C32" s="162"/>
      <c r="D32" s="136"/>
      <c r="E32" s="151"/>
      <c r="F32" s="53"/>
      <c r="G32" s="143"/>
      <c r="H32" s="135"/>
      <c r="I32" s="27"/>
    </row>
    <row r="33" spans="1:9" x14ac:dyDescent="0.2">
      <c r="A33" s="217"/>
      <c r="B33" s="135"/>
      <c r="C33" s="162"/>
      <c r="D33" s="136"/>
      <c r="E33" s="151"/>
      <c r="F33" s="53"/>
      <c r="G33" s="143"/>
      <c r="H33" s="135"/>
      <c r="I33" s="42"/>
    </row>
    <row r="34" spans="1:9" x14ac:dyDescent="0.2">
      <c r="A34" s="137"/>
      <c r="B34" s="145"/>
      <c r="C34" s="143"/>
      <c r="D34" s="53"/>
      <c r="E34" s="82"/>
      <c r="F34" s="52"/>
      <c r="G34" s="143"/>
      <c r="H34" s="145"/>
      <c r="I34" s="144"/>
    </row>
    <row r="35" spans="1:9" ht="13.5" thickBot="1" x14ac:dyDescent="0.25">
      <c r="A35" s="432" t="s">
        <v>43</v>
      </c>
      <c r="B35" s="433"/>
      <c r="C35" s="56">
        <f>SUM(C33:C34)</f>
        <v>0</v>
      </c>
      <c r="D35" s="433"/>
      <c r="E35" s="56">
        <f>SUM(E33:E34)</f>
        <v>0</v>
      </c>
      <c r="F35" s="433"/>
      <c r="G35" s="56">
        <f>SUM(G33:G34)</f>
        <v>0</v>
      </c>
      <c r="H35" s="433"/>
      <c r="I35" s="434"/>
    </row>
    <row r="36" spans="1:9" ht="13.5" thickBot="1" x14ac:dyDescent="0.25"/>
    <row r="37" spans="1:9" ht="21" thickBot="1" x14ac:dyDescent="0.25">
      <c r="A37" s="550" t="s">
        <v>1142</v>
      </c>
      <c r="B37" s="551"/>
      <c r="C37" s="551"/>
      <c r="D37" s="551"/>
      <c r="E37" s="551"/>
      <c r="F37" s="551"/>
      <c r="G37" s="551"/>
      <c r="H37" s="551"/>
      <c r="I37" s="552"/>
    </row>
    <row r="38" spans="1:9" x14ac:dyDescent="0.2">
      <c r="A38" s="39"/>
      <c r="B38" s="13" t="s">
        <v>1138</v>
      </c>
      <c r="C38" s="13" t="s">
        <v>1139</v>
      </c>
      <c r="D38" s="87" t="s">
        <v>1140</v>
      </c>
      <c r="E38" s="13" t="s">
        <v>1141</v>
      </c>
      <c r="F38" s="13"/>
      <c r="G38" s="13"/>
      <c r="H38" s="13"/>
      <c r="I38" s="37"/>
    </row>
    <row r="39" spans="1:9" x14ac:dyDescent="0.2">
      <c r="A39" s="39" t="s">
        <v>991</v>
      </c>
      <c r="B39" s="205">
        <f>B75+(B75*0.03)</f>
        <v>119782.82</v>
      </c>
      <c r="C39" s="205">
        <v>81868</v>
      </c>
      <c r="D39" s="205">
        <f>D75+(D75*0.03)</f>
        <v>170272.39</v>
      </c>
      <c r="E39" s="205">
        <v>10000</v>
      </c>
      <c r="F39" s="146" t="s">
        <v>972</v>
      </c>
      <c r="G39" s="13"/>
      <c r="H39" s="13"/>
      <c r="I39" s="155" t="s">
        <v>973</v>
      </c>
    </row>
    <row r="40" spans="1:9" x14ac:dyDescent="0.2">
      <c r="A40" s="39" t="s">
        <v>36</v>
      </c>
      <c r="B40" s="88">
        <f>IF(B80&gt;1116294,116294,B80)</f>
        <v>0</v>
      </c>
      <c r="C40" s="88">
        <f>IF(OR(C80&gt;=C39,C80&lt;C39),C39,C80)</f>
        <v>81868</v>
      </c>
      <c r="D40" s="380">
        <f>IF(OR(D80&gt;=D39,D80&lt;D39),D80,D39)</f>
        <v>64801.049999999959</v>
      </c>
      <c r="E40" s="88">
        <v>0</v>
      </c>
      <c r="F40" s="13"/>
      <c r="G40" s="13"/>
      <c r="H40" s="13"/>
      <c r="I40" s="381"/>
    </row>
    <row r="41" spans="1:9" x14ac:dyDescent="0.2">
      <c r="A41" s="39" t="s">
        <v>992</v>
      </c>
      <c r="B41" s="88">
        <f>SUM(B39:B40)</f>
        <v>119782.82</v>
      </c>
      <c r="C41" s="88">
        <f>SUM(C39:C40)</f>
        <v>163736</v>
      </c>
      <c r="D41" s="88">
        <f>SUM(D39:D40)</f>
        <v>235073.43999999997</v>
      </c>
      <c r="E41" s="88">
        <f>SUM(E39:E40)</f>
        <v>10000</v>
      </c>
      <c r="F41" s="125" t="s">
        <v>107</v>
      </c>
      <c r="G41" s="13"/>
      <c r="H41" s="13"/>
      <c r="I41" s="37"/>
    </row>
    <row r="42" spans="1:9" x14ac:dyDescent="0.2">
      <c r="A42" s="39" t="s">
        <v>47</v>
      </c>
      <c r="B42" s="88">
        <f>B80</f>
        <v>0</v>
      </c>
      <c r="C42" s="88">
        <f>IF(C80&gt;C40,C40,C80)</f>
        <v>81868</v>
      </c>
      <c r="D42" s="88">
        <f>IF(D81&gt;D75,D75,D81)</f>
        <v>64801.049999999959</v>
      </c>
      <c r="E42" s="88">
        <v>0</v>
      </c>
      <c r="F42" s="88"/>
      <c r="G42" s="88"/>
      <c r="H42" s="88"/>
      <c r="I42" s="88"/>
    </row>
    <row r="43" spans="1:9" x14ac:dyDescent="0.2">
      <c r="A43" s="39" t="s">
        <v>479</v>
      </c>
      <c r="B43" s="88">
        <f>B39+B42</f>
        <v>119782.82</v>
      </c>
      <c r="C43" s="88">
        <f>C39+C42</f>
        <v>163736</v>
      </c>
      <c r="D43" s="88">
        <f>D39+D42</f>
        <v>235073.43999999997</v>
      </c>
      <c r="E43" s="88">
        <f>E39+E42</f>
        <v>10000</v>
      </c>
      <c r="F43" s="146" t="s">
        <v>108</v>
      </c>
      <c r="G43" s="13"/>
      <c r="H43" s="13"/>
      <c r="I43" s="37"/>
    </row>
    <row r="44" spans="1:9" x14ac:dyDescent="0.2">
      <c r="A44" s="39" t="s">
        <v>39</v>
      </c>
      <c r="B44" s="88">
        <f>B41-E49</f>
        <v>0</v>
      </c>
      <c r="C44" s="88">
        <f>C41-E53</f>
        <v>118952.58275</v>
      </c>
      <c r="D44" s="88">
        <f>D41-E66</f>
        <v>357.9999999999709</v>
      </c>
      <c r="E44" s="88">
        <f>E41-E71</f>
        <v>10000</v>
      </c>
      <c r="F44" s="146" t="s">
        <v>109</v>
      </c>
      <c r="G44" s="13"/>
      <c r="H44" s="13"/>
      <c r="I44" s="37"/>
    </row>
    <row r="45" spans="1:9" x14ac:dyDescent="0.2">
      <c r="A45" s="39" t="s">
        <v>132</v>
      </c>
      <c r="B45" s="296">
        <f>B43-E49-G49</f>
        <v>0</v>
      </c>
      <c r="C45" s="297">
        <f>C43-E53-G53</f>
        <v>70817.262749999994</v>
      </c>
      <c r="D45" s="297">
        <f>D43-E66-G66</f>
        <v>357.9999999999709</v>
      </c>
      <c r="E45" s="297">
        <f>E43-E71-G71</f>
        <v>10000</v>
      </c>
      <c r="F45" s="146" t="s">
        <v>110</v>
      </c>
      <c r="H45" s="140"/>
      <c r="I45" s="37"/>
    </row>
    <row r="46" spans="1:9" ht="21" thickBot="1" x14ac:dyDescent="0.35">
      <c r="A46" s="39"/>
      <c r="B46" s="13"/>
      <c r="C46" s="13"/>
      <c r="D46" s="13"/>
      <c r="E46" s="14"/>
      <c r="F46" s="13"/>
      <c r="G46" s="13"/>
      <c r="H46" s="13"/>
      <c r="I46" s="37"/>
    </row>
    <row r="47" spans="1:9" ht="51" x14ac:dyDescent="0.2">
      <c r="A47" s="15" t="s">
        <v>41</v>
      </c>
      <c r="B47" s="16" t="s">
        <v>34</v>
      </c>
      <c r="C47" s="20" t="s">
        <v>64</v>
      </c>
      <c r="D47" s="20" t="s">
        <v>63</v>
      </c>
      <c r="E47" s="16" t="s">
        <v>37</v>
      </c>
      <c r="F47" s="16" t="s">
        <v>40</v>
      </c>
      <c r="G47" s="16" t="s">
        <v>46</v>
      </c>
      <c r="H47" s="16" t="s">
        <v>38</v>
      </c>
      <c r="I47" s="17" t="s">
        <v>5</v>
      </c>
    </row>
    <row r="48" spans="1:9" x14ac:dyDescent="0.2">
      <c r="A48" s="31" t="s">
        <v>10</v>
      </c>
      <c r="B48" s="23" t="s">
        <v>10</v>
      </c>
      <c r="C48" s="57">
        <v>119782.82</v>
      </c>
      <c r="D48" s="50">
        <v>45299</v>
      </c>
      <c r="E48" s="57">
        <f>C48</f>
        <v>119782.82</v>
      </c>
      <c r="F48" s="23"/>
      <c r="G48" s="23" t="s">
        <v>1155</v>
      </c>
      <c r="H48" s="23" t="s">
        <v>974</v>
      </c>
      <c r="I48" s="24"/>
    </row>
    <row r="49" spans="1:9" x14ac:dyDescent="0.2">
      <c r="A49" s="25" t="s">
        <v>43</v>
      </c>
      <c r="B49" s="26"/>
      <c r="C49" s="61">
        <f>C48</f>
        <v>119782.82</v>
      </c>
      <c r="D49" s="26"/>
      <c r="E49" s="61">
        <f>E48</f>
        <v>119782.82</v>
      </c>
      <c r="F49" s="26"/>
      <c r="G49" s="58"/>
      <c r="H49" s="26"/>
      <c r="I49" s="27"/>
    </row>
    <row r="50" spans="1:9" x14ac:dyDescent="0.2">
      <c r="A50" s="33"/>
      <c r="B50" s="33"/>
      <c r="C50" s="59"/>
      <c r="D50" s="33"/>
      <c r="E50" s="59"/>
      <c r="F50" s="33"/>
      <c r="G50" s="59"/>
      <c r="H50" s="33"/>
      <c r="I50" s="33"/>
    </row>
    <row r="51" spans="1:9" x14ac:dyDescent="0.2">
      <c r="A51" s="32" t="s">
        <v>44</v>
      </c>
      <c r="B51" s="26" t="s">
        <v>532</v>
      </c>
      <c r="C51" s="456">
        <v>48135.32</v>
      </c>
      <c r="D51" s="50">
        <v>45383</v>
      </c>
      <c r="E51" s="457"/>
      <c r="F51" s="26"/>
      <c r="G51" s="83">
        <f>C51-E51</f>
        <v>48135.32</v>
      </c>
      <c r="H51" s="26" t="s">
        <v>974</v>
      </c>
      <c r="I51" s="43"/>
    </row>
    <row r="52" spans="1:9" x14ac:dyDescent="0.2">
      <c r="A52" s="32"/>
      <c r="B52" s="26"/>
      <c r="C52" s="261">
        <v>44783.417249999999</v>
      </c>
      <c r="D52" s="262"/>
      <c r="E52" s="261">
        <f>C52</f>
        <v>44783.417249999999</v>
      </c>
      <c r="F52" s="460" t="s">
        <v>1215</v>
      </c>
      <c r="G52" s="261"/>
      <c r="H52" s="26" t="s">
        <v>974</v>
      </c>
      <c r="I52" s="43"/>
    </row>
    <row r="53" spans="1:9" x14ac:dyDescent="0.2">
      <c r="A53" s="25" t="s">
        <v>43</v>
      </c>
      <c r="B53" s="26"/>
      <c r="C53" s="60">
        <f>C51+C52</f>
        <v>92918.737250000006</v>
      </c>
      <c r="D53" s="26"/>
      <c r="E53" s="60">
        <f>E51+E52</f>
        <v>44783.417249999999</v>
      </c>
      <c r="F53" s="26"/>
      <c r="G53" s="60">
        <f>SUM(G51:G52)</f>
        <v>48135.32</v>
      </c>
      <c r="H53" s="26"/>
      <c r="I53" s="27"/>
    </row>
    <row r="54" spans="1:9" x14ac:dyDescent="0.2">
      <c r="A54" s="33"/>
      <c r="B54" s="33"/>
      <c r="C54" s="59"/>
      <c r="D54" s="33"/>
      <c r="E54" s="59"/>
      <c r="F54" s="33"/>
      <c r="G54" s="59"/>
      <c r="H54" s="33"/>
      <c r="I54" s="33"/>
    </row>
    <row r="55" spans="1:9" x14ac:dyDescent="0.2">
      <c r="A55" s="32" t="s">
        <v>42</v>
      </c>
      <c r="B55" s="135" t="s">
        <v>532</v>
      </c>
      <c r="C55" s="162">
        <v>7686.96</v>
      </c>
      <c r="D55" s="565" t="s">
        <v>1186</v>
      </c>
      <c r="E55" s="151"/>
      <c r="F55" s="585" t="s">
        <v>1212</v>
      </c>
      <c r="G55" s="143"/>
      <c r="H55" s="135" t="s">
        <v>1161</v>
      </c>
      <c r="I55" s="27" t="s">
        <v>1180</v>
      </c>
    </row>
    <row r="56" spans="1:9" x14ac:dyDescent="0.2">
      <c r="A56" s="147"/>
      <c r="B56" s="135"/>
      <c r="C56" s="142">
        <v>24358.04</v>
      </c>
      <c r="D56" s="588"/>
      <c r="E56" s="453"/>
      <c r="F56" s="586"/>
      <c r="G56" s="143"/>
      <c r="H56" s="135" t="s">
        <v>1161</v>
      </c>
      <c r="I56" s="42" t="s">
        <v>1181</v>
      </c>
    </row>
    <row r="57" spans="1:9" x14ac:dyDescent="0.2">
      <c r="A57" s="147"/>
      <c r="B57" s="135"/>
      <c r="C57" s="142">
        <v>66130</v>
      </c>
      <c r="D57" s="589"/>
      <c r="E57" s="453"/>
      <c r="F57" s="586"/>
      <c r="G57" s="143"/>
      <c r="H57" s="135" t="s">
        <v>1161</v>
      </c>
      <c r="I57" s="42"/>
    </row>
    <row r="58" spans="1:9" x14ac:dyDescent="0.2">
      <c r="A58" s="147"/>
      <c r="B58" s="135"/>
      <c r="C58" s="142">
        <f>G60</f>
        <v>17852.8</v>
      </c>
      <c r="D58" s="452"/>
      <c r="E58" s="246">
        <f>SUM(C54:C58)</f>
        <v>116027.8</v>
      </c>
      <c r="F58" s="587"/>
      <c r="G58" s="275"/>
      <c r="H58" s="135" t="s">
        <v>1161</v>
      </c>
      <c r="I58" s="42" t="s">
        <v>1210</v>
      </c>
    </row>
    <row r="59" spans="1:9" x14ac:dyDescent="0.2">
      <c r="A59" s="147"/>
      <c r="B59" s="135" t="s">
        <v>532</v>
      </c>
      <c r="C59" s="142">
        <v>13735.05</v>
      </c>
      <c r="D59" s="590" t="s">
        <v>1187</v>
      </c>
      <c r="E59" s="294">
        <v>13735.05</v>
      </c>
      <c r="F59" s="583" t="s">
        <v>1211</v>
      </c>
      <c r="H59" s="135" t="s">
        <v>1162</v>
      </c>
      <c r="I59" s="42" t="s">
        <v>1180</v>
      </c>
    </row>
    <row r="60" spans="1:9" x14ac:dyDescent="0.2">
      <c r="A60" s="147"/>
      <c r="B60" s="135"/>
      <c r="C60" s="162">
        <v>28240.95</v>
      </c>
      <c r="D60" s="589"/>
      <c r="E60" s="454">
        <f>24123.2-E59</f>
        <v>10388.150000000001</v>
      </c>
      <c r="F60" s="584"/>
      <c r="G60" s="294">
        <f>28240.95-E60</f>
        <v>17852.8</v>
      </c>
      <c r="H60" s="135" t="s">
        <v>1162</v>
      </c>
      <c r="I60" s="42"/>
    </row>
    <row r="61" spans="1:9" x14ac:dyDescent="0.2">
      <c r="A61" s="147"/>
      <c r="B61" s="135"/>
      <c r="C61" s="162"/>
      <c r="D61" s="452"/>
      <c r="E61" s="454"/>
      <c r="F61" s="455"/>
      <c r="G61" s="294">
        <f>-G60</f>
        <v>-17852.8</v>
      </c>
      <c r="H61" s="135" t="s">
        <v>1162</v>
      </c>
      <c r="I61" s="42" t="s">
        <v>1209</v>
      </c>
    </row>
    <row r="62" spans="1:9" x14ac:dyDescent="0.2">
      <c r="A62" s="137"/>
      <c r="B62" s="145" t="s">
        <v>10</v>
      </c>
      <c r="C62" s="143">
        <v>110000</v>
      </c>
      <c r="D62" s="53" t="s">
        <v>1198</v>
      </c>
      <c r="E62" s="254">
        <v>94564.44</v>
      </c>
      <c r="F62" s="52" t="s">
        <v>1202</v>
      </c>
      <c r="G62" s="143"/>
      <c r="H62" s="145" t="s">
        <v>1161</v>
      </c>
      <c r="I62" s="144" t="s">
        <v>1199</v>
      </c>
    </row>
    <row r="63" spans="1:9" x14ac:dyDescent="0.2">
      <c r="A63" s="137"/>
      <c r="B63" s="145"/>
      <c r="C63" s="143"/>
      <c r="D63" s="53"/>
      <c r="E63" s="82"/>
      <c r="F63" s="52"/>
      <c r="G63" s="143"/>
      <c r="H63" s="145"/>
      <c r="I63" s="144"/>
    </row>
    <row r="64" spans="1:9" x14ac:dyDescent="0.2">
      <c r="A64" s="137"/>
      <c r="B64" s="145"/>
      <c r="C64" s="143"/>
      <c r="D64" s="53"/>
      <c r="E64" s="82"/>
      <c r="F64" s="52"/>
      <c r="G64" s="143"/>
      <c r="H64" s="145"/>
      <c r="I64" s="144"/>
    </row>
    <row r="65" spans="1:9" x14ac:dyDescent="0.2">
      <c r="A65" s="137"/>
      <c r="B65" s="293"/>
      <c r="C65" s="294"/>
      <c r="D65" s="53"/>
      <c r="E65" s="82"/>
      <c r="F65" s="52"/>
      <c r="G65" s="294"/>
      <c r="H65" s="293"/>
      <c r="I65" s="144"/>
    </row>
    <row r="66" spans="1:9" ht="13.5" thickBot="1" x14ac:dyDescent="0.25">
      <c r="A66" s="28" t="s">
        <v>43</v>
      </c>
      <c r="B66" s="29"/>
      <c r="C66" s="56">
        <f>SUM(C55:C65)</f>
        <v>268003.80000000005</v>
      </c>
      <c r="D66" s="29"/>
      <c r="E66" s="56">
        <f>SUM(E55:E65)</f>
        <v>234715.44</v>
      </c>
      <c r="F66" s="54"/>
      <c r="G66" s="56">
        <f>SUM(G55:G65)</f>
        <v>0</v>
      </c>
      <c r="H66" s="309"/>
      <c r="I66" s="295"/>
    </row>
    <row r="67" spans="1:9" x14ac:dyDescent="0.2">
      <c r="A67" s="310"/>
      <c r="B67" s="310"/>
      <c r="C67" s="311"/>
      <c r="D67" s="310"/>
      <c r="E67" s="311"/>
      <c r="F67" s="312"/>
      <c r="G67" s="311"/>
      <c r="H67" s="313"/>
      <c r="I67" s="307"/>
    </row>
    <row r="68" spans="1:9" x14ac:dyDescent="0.2">
      <c r="A68" s="32" t="s">
        <v>975</v>
      </c>
      <c r="B68" s="135"/>
      <c r="C68" s="162"/>
      <c r="D68" s="136"/>
      <c r="E68" s="151"/>
      <c r="F68" s="53"/>
      <c r="G68" s="143"/>
      <c r="H68" s="135"/>
      <c r="I68" s="27"/>
    </row>
    <row r="69" spans="1:9" x14ac:dyDescent="0.2">
      <c r="A69" s="217"/>
      <c r="B69" s="135"/>
      <c r="C69" s="162"/>
      <c r="D69" s="136"/>
      <c r="E69" s="151"/>
      <c r="F69" s="53"/>
      <c r="G69" s="143"/>
      <c r="H69" s="135"/>
      <c r="I69" s="42"/>
    </row>
    <row r="70" spans="1:9" x14ac:dyDescent="0.2">
      <c r="A70" s="137"/>
      <c r="B70" s="145"/>
      <c r="C70" s="143"/>
      <c r="D70" s="53"/>
      <c r="E70" s="82"/>
      <c r="F70" s="52"/>
      <c r="G70" s="143"/>
      <c r="H70" s="145"/>
      <c r="I70" s="144"/>
    </row>
    <row r="71" spans="1:9" ht="13.5" thickBot="1" x14ac:dyDescent="0.25">
      <c r="A71" s="432" t="s">
        <v>43</v>
      </c>
      <c r="B71" s="433"/>
      <c r="C71" s="56">
        <f>SUM(C69:C70)</f>
        <v>0</v>
      </c>
      <c r="D71" s="433"/>
      <c r="E71" s="56">
        <f>SUM(E69:E70)</f>
        <v>0</v>
      </c>
      <c r="F71" s="433"/>
      <c r="G71" s="56">
        <f>SUM(G69:G70)</f>
        <v>0</v>
      </c>
      <c r="H71" s="433"/>
      <c r="I71" s="434"/>
    </row>
    <row r="72" spans="1:9" ht="13.5" thickBot="1" x14ac:dyDescent="0.25"/>
    <row r="73" spans="1:9" ht="21" thickBot="1" x14ac:dyDescent="0.25">
      <c r="A73" s="550" t="s">
        <v>970</v>
      </c>
      <c r="B73" s="551"/>
      <c r="C73" s="551"/>
      <c r="D73" s="551"/>
      <c r="E73" s="551"/>
      <c r="F73" s="551"/>
      <c r="G73" s="551"/>
      <c r="H73" s="551"/>
      <c r="I73" s="552"/>
    </row>
    <row r="74" spans="1:9" x14ac:dyDescent="0.2">
      <c r="A74" s="39"/>
      <c r="B74" s="13" t="s">
        <v>964</v>
      </c>
      <c r="C74" s="13" t="s">
        <v>965</v>
      </c>
      <c r="D74" s="87" t="s">
        <v>966</v>
      </c>
      <c r="E74" s="13" t="s">
        <v>967</v>
      </c>
      <c r="F74" s="13"/>
      <c r="G74" s="13"/>
      <c r="H74" s="13"/>
      <c r="I74" s="37"/>
    </row>
    <row r="75" spans="1:9" x14ac:dyDescent="0.2">
      <c r="A75" s="39" t="s">
        <v>971</v>
      </c>
      <c r="B75" s="205">
        <v>116294</v>
      </c>
      <c r="C75" s="205">
        <v>81868</v>
      </c>
      <c r="D75" s="205">
        <v>165313</v>
      </c>
      <c r="E75" s="205">
        <v>10000</v>
      </c>
      <c r="F75" s="146" t="s">
        <v>972</v>
      </c>
      <c r="G75" s="13"/>
      <c r="H75" s="13"/>
      <c r="I75" s="155" t="s">
        <v>973</v>
      </c>
    </row>
    <row r="76" spans="1:9" x14ac:dyDescent="0.2">
      <c r="A76" s="39" t="s">
        <v>36</v>
      </c>
      <c r="B76" s="88">
        <f>IF(B113&gt;1116294,116294,B113)</f>
        <v>0</v>
      </c>
      <c r="C76" s="88">
        <f>IF(C113&gt;81867.26,81867.264,C113)</f>
        <v>81867.263999999996</v>
      </c>
      <c r="D76" s="380">
        <f>IF(D114&gt;D108,D108,D114)</f>
        <v>21422.009999999962</v>
      </c>
      <c r="E76" s="88">
        <v>0</v>
      </c>
      <c r="F76" s="13"/>
      <c r="G76" s="13"/>
      <c r="H76" s="13"/>
      <c r="I76" s="381"/>
    </row>
    <row r="77" spans="1:9" x14ac:dyDescent="0.2">
      <c r="A77" s="39" t="s">
        <v>969</v>
      </c>
      <c r="B77" s="88">
        <f>SUM(B75:B76)</f>
        <v>116294</v>
      </c>
      <c r="C77" s="88">
        <f>SUM(C75:C76)</f>
        <v>163735.264</v>
      </c>
      <c r="D77" s="88">
        <f>SUM(D75:D76)</f>
        <v>186735.00999999995</v>
      </c>
      <c r="E77" s="88">
        <f>SUM(E75:E76)</f>
        <v>10000</v>
      </c>
      <c r="F77" s="125" t="s">
        <v>107</v>
      </c>
      <c r="G77" s="13"/>
      <c r="H77" s="13"/>
      <c r="I77" s="37"/>
    </row>
    <row r="78" spans="1:9" x14ac:dyDescent="0.2">
      <c r="A78" s="39" t="s">
        <v>47</v>
      </c>
      <c r="B78" s="88">
        <f>B114</f>
        <v>0</v>
      </c>
      <c r="C78" s="88">
        <f>IF(C114&gt;C76,C114,C76)</f>
        <v>81867.263999999996</v>
      </c>
      <c r="D78" s="88">
        <f>IF(D114&gt;D108,D108,D114)</f>
        <v>21422.009999999962</v>
      </c>
      <c r="E78" s="88">
        <v>0</v>
      </c>
      <c r="F78" s="88"/>
      <c r="G78" s="88"/>
      <c r="H78" s="88"/>
      <c r="I78" s="88"/>
    </row>
    <row r="79" spans="1:9" x14ac:dyDescent="0.2">
      <c r="A79" s="39" t="s">
        <v>479</v>
      </c>
      <c r="B79" s="88">
        <f>B75+B78</f>
        <v>116294</v>
      </c>
      <c r="C79" s="88">
        <f>C75+C78</f>
        <v>163735.264</v>
      </c>
      <c r="D79" s="88">
        <f>D75+D78</f>
        <v>186735.00999999995</v>
      </c>
      <c r="E79" s="88">
        <f>E75+E78</f>
        <v>10000</v>
      </c>
      <c r="F79" s="146" t="s">
        <v>108</v>
      </c>
      <c r="G79" s="13"/>
      <c r="H79" s="13"/>
      <c r="I79" s="37"/>
    </row>
    <row r="80" spans="1:9" x14ac:dyDescent="0.2">
      <c r="A80" s="39" t="s">
        <v>39</v>
      </c>
      <c r="B80" s="88">
        <f>B77-E85</f>
        <v>0</v>
      </c>
      <c r="C80" s="88">
        <f>C77-E89</f>
        <v>120231.07399999999</v>
      </c>
      <c r="D80" s="88">
        <f>D77-E99</f>
        <v>64801.049999999959</v>
      </c>
      <c r="E80" s="88">
        <f>E77-E104</f>
        <v>10000</v>
      </c>
      <c r="F80" s="146" t="s">
        <v>109</v>
      </c>
      <c r="G80" s="13"/>
      <c r="H80" s="13"/>
      <c r="I80" s="37"/>
    </row>
    <row r="81" spans="1:9" x14ac:dyDescent="0.2">
      <c r="A81" s="39" t="s">
        <v>132</v>
      </c>
      <c r="B81" s="296">
        <f>B79-E85-G85</f>
        <v>0</v>
      </c>
      <c r="C81" s="297">
        <f>C79-E89-G89</f>
        <v>120231.07399999999</v>
      </c>
      <c r="D81" s="297">
        <f>D79-E99-G99</f>
        <v>64801.049999999959</v>
      </c>
      <c r="E81" s="297">
        <f>E79-E104-G104</f>
        <v>10000</v>
      </c>
      <c r="F81" s="146" t="s">
        <v>110</v>
      </c>
      <c r="H81" s="140"/>
      <c r="I81" s="37"/>
    </row>
    <row r="82" spans="1:9" ht="21" thickBot="1" x14ac:dyDescent="0.35">
      <c r="A82" s="39"/>
      <c r="B82" s="13"/>
      <c r="C82" s="13"/>
      <c r="D82" s="13"/>
      <c r="E82" s="14"/>
      <c r="F82" s="13"/>
      <c r="G82" s="13"/>
      <c r="H82" s="13"/>
      <c r="I82" s="37"/>
    </row>
    <row r="83" spans="1:9" ht="51" x14ac:dyDescent="0.2">
      <c r="A83" s="15" t="s">
        <v>41</v>
      </c>
      <c r="B83" s="16" t="s">
        <v>34</v>
      </c>
      <c r="C83" s="20" t="s">
        <v>64</v>
      </c>
      <c r="D83" s="20" t="s">
        <v>63</v>
      </c>
      <c r="E83" s="16" t="s">
        <v>37</v>
      </c>
      <c r="F83" s="16" t="s">
        <v>40</v>
      </c>
      <c r="G83" s="16" t="s">
        <v>46</v>
      </c>
      <c r="H83" s="16" t="s">
        <v>38</v>
      </c>
      <c r="I83" s="17" t="s">
        <v>5</v>
      </c>
    </row>
    <row r="84" spans="1:9" x14ac:dyDescent="0.2">
      <c r="A84" s="31" t="s">
        <v>10</v>
      </c>
      <c r="B84" s="23" t="s">
        <v>10</v>
      </c>
      <c r="C84" s="57">
        <v>116294</v>
      </c>
      <c r="D84" s="50">
        <v>45000</v>
      </c>
      <c r="E84" s="57">
        <f>C84</f>
        <v>116294</v>
      </c>
      <c r="F84" s="23" t="s">
        <v>1009</v>
      </c>
      <c r="G84" s="23"/>
      <c r="H84" s="23" t="s">
        <v>974</v>
      </c>
      <c r="I84" s="24"/>
    </row>
    <row r="85" spans="1:9" x14ac:dyDescent="0.2">
      <c r="A85" s="25" t="s">
        <v>43</v>
      </c>
      <c r="B85" s="26"/>
      <c r="C85" s="61">
        <f>C84</f>
        <v>116294</v>
      </c>
      <c r="D85" s="26"/>
      <c r="E85" s="61">
        <f>E84</f>
        <v>116294</v>
      </c>
      <c r="F85" s="26"/>
      <c r="G85" s="58"/>
      <c r="H85" s="26"/>
      <c r="I85" s="27"/>
    </row>
    <row r="86" spans="1:9" x14ac:dyDescent="0.2">
      <c r="A86" s="33"/>
      <c r="B86" s="33"/>
      <c r="C86" s="59"/>
      <c r="D86" s="33"/>
      <c r="E86" s="59"/>
      <c r="F86" s="33"/>
      <c r="G86" s="59"/>
      <c r="H86" s="33"/>
      <c r="I86" s="33"/>
    </row>
    <row r="87" spans="1:9" x14ac:dyDescent="0.2">
      <c r="A87" s="32" t="s">
        <v>44</v>
      </c>
      <c r="B87" s="26" t="s">
        <v>567</v>
      </c>
      <c r="C87" s="58">
        <v>28070.49</v>
      </c>
      <c r="D87" s="50" t="s">
        <v>1042</v>
      </c>
      <c r="E87" s="58">
        <v>28070.49</v>
      </c>
      <c r="F87" s="26" t="s">
        <v>1042</v>
      </c>
      <c r="G87" s="83">
        <f>C87-E87</f>
        <v>0</v>
      </c>
      <c r="H87" s="26" t="s">
        <v>974</v>
      </c>
      <c r="I87" s="43"/>
    </row>
    <row r="88" spans="1:9" x14ac:dyDescent="0.2">
      <c r="A88" s="32"/>
      <c r="B88" s="26" t="s">
        <v>567</v>
      </c>
      <c r="C88" s="261">
        <v>15433.7</v>
      </c>
      <c r="D88" s="262">
        <v>45197</v>
      </c>
      <c r="E88" s="261">
        <v>15433.7</v>
      </c>
      <c r="F88" s="26" t="s">
        <v>1118</v>
      </c>
      <c r="G88" s="83"/>
      <c r="H88" s="26" t="s">
        <v>974</v>
      </c>
      <c r="I88" s="43"/>
    </row>
    <row r="89" spans="1:9" x14ac:dyDescent="0.2">
      <c r="A89" s="25" t="s">
        <v>43</v>
      </c>
      <c r="B89" s="26"/>
      <c r="C89" s="60">
        <f>C87+C88</f>
        <v>43504.19</v>
      </c>
      <c r="D89" s="26"/>
      <c r="E89" s="60">
        <f>E87+E88</f>
        <v>43504.19</v>
      </c>
      <c r="F89" s="26"/>
      <c r="G89" s="60">
        <f>SUM(G87:G88)</f>
        <v>0</v>
      </c>
      <c r="H89" s="26"/>
      <c r="I89" s="27"/>
    </row>
    <row r="90" spans="1:9" x14ac:dyDescent="0.2">
      <c r="A90" s="33"/>
      <c r="B90" s="33"/>
      <c r="C90" s="59"/>
      <c r="D90" s="33"/>
      <c r="E90" s="59"/>
      <c r="F90" s="33"/>
      <c r="G90" s="59"/>
      <c r="H90" s="33"/>
      <c r="I90" s="33"/>
    </row>
    <row r="91" spans="1:9" x14ac:dyDescent="0.2">
      <c r="A91" s="32" t="s">
        <v>42</v>
      </c>
      <c r="B91" s="135"/>
      <c r="C91" s="162"/>
      <c r="D91" s="136"/>
      <c r="E91" s="151"/>
      <c r="F91" s="53"/>
      <c r="G91" s="143"/>
      <c r="H91" s="135"/>
      <c r="I91" s="27"/>
    </row>
    <row r="92" spans="1:9" x14ac:dyDescent="0.2">
      <c r="A92" s="147"/>
      <c r="B92" s="135" t="s">
        <v>532</v>
      </c>
      <c r="C92" s="142">
        <v>40000</v>
      </c>
      <c r="D92" s="136" t="s">
        <v>1040</v>
      </c>
      <c r="E92" s="151">
        <v>9922.2199999999993</v>
      </c>
      <c r="F92" s="53" t="s">
        <v>1123</v>
      </c>
      <c r="G92" s="143">
        <f>C92-E92-E93</f>
        <v>24358.04</v>
      </c>
      <c r="H92" s="135" t="s">
        <v>1025</v>
      </c>
      <c r="I92" s="42" t="s">
        <v>866</v>
      </c>
    </row>
    <row r="93" spans="1:9" x14ac:dyDescent="0.2">
      <c r="A93" s="147"/>
      <c r="B93" s="135"/>
      <c r="C93" s="142"/>
      <c r="D93" s="136"/>
      <c r="E93" s="445">
        <v>5719.74</v>
      </c>
      <c r="F93" s="444" t="s">
        <v>1185</v>
      </c>
      <c r="G93" s="446">
        <v>-24358.04</v>
      </c>
      <c r="H93" s="135"/>
      <c r="I93" s="447" t="s">
        <v>1182</v>
      </c>
    </row>
    <row r="94" spans="1:9" x14ac:dyDescent="0.2">
      <c r="A94" s="147"/>
      <c r="B94" s="135" t="s">
        <v>532</v>
      </c>
      <c r="C94" s="162">
        <v>38845</v>
      </c>
      <c r="D94" s="136" t="s">
        <v>1069</v>
      </c>
      <c r="E94" s="261">
        <v>38845</v>
      </c>
      <c r="F94" s="53" t="s">
        <v>1122</v>
      </c>
      <c r="G94" s="143"/>
      <c r="H94" s="135" t="s">
        <v>1038</v>
      </c>
      <c r="I94" s="42" t="s">
        <v>1062</v>
      </c>
    </row>
    <row r="95" spans="1:9" x14ac:dyDescent="0.2">
      <c r="A95" s="137"/>
      <c r="B95" s="145" t="s">
        <v>10</v>
      </c>
      <c r="C95" s="143">
        <v>28843.91</v>
      </c>
      <c r="D95" s="53" t="s">
        <v>1070</v>
      </c>
      <c r="E95" s="82">
        <v>17805</v>
      </c>
      <c r="F95" s="52" t="s">
        <v>1136</v>
      </c>
      <c r="G95" s="143">
        <f>C95-E95</f>
        <v>11038.91</v>
      </c>
      <c r="H95" s="145" t="s">
        <v>1038</v>
      </c>
      <c r="I95" s="144" t="s">
        <v>1062</v>
      </c>
    </row>
    <row r="96" spans="1:9" x14ac:dyDescent="0.2">
      <c r="A96" s="137"/>
      <c r="B96" s="145"/>
      <c r="C96" s="143"/>
      <c r="D96" s="53"/>
      <c r="E96" s="82"/>
      <c r="F96" s="52"/>
      <c r="G96" s="143">
        <v>-11038.91</v>
      </c>
      <c r="H96" s="145"/>
      <c r="I96" s="144" t="s">
        <v>99</v>
      </c>
    </row>
    <row r="97" spans="1:9" x14ac:dyDescent="0.2">
      <c r="A97" s="137"/>
      <c r="B97" s="145" t="s">
        <v>10</v>
      </c>
      <c r="C97" s="143">
        <v>50000</v>
      </c>
      <c r="D97" s="53"/>
      <c r="E97" s="82">
        <v>49642</v>
      </c>
      <c r="F97" s="467" t="s">
        <v>1224</v>
      </c>
      <c r="G97" s="143"/>
      <c r="H97" s="145" t="s">
        <v>1025</v>
      </c>
      <c r="I97" s="144"/>
    </row>
    <row r="98" spans="1:9" x14ac:dyDescent="0.2">
      <c r="A98" s="137"/>
      <c r="B98" s="293"/>
      <c r="C98" s="294"/>
      <c r="D98" s="53"/>
      <c r="E98" s="82"/>
      <c r="F98" s="52"/>
      <c r="G98" s="294"/>
      <c r="H98" s="293"/>
      <c r="I98" s="144"/>
    </row>
    <row r="99" spans="1:9" ht="13.5" thickBot="1" x14ac:dyDescent="0.25">
      <c r="A99" s="28" t="s">
        <v>43</v>
      </c>
      <c r="B99" s="29"/>
      <c r="C99" s="56">
        <f>SUM(C91:C98)</f>
        <v>157688.91</v>
      </c>
      <c r="D99" s="29"/>
      <c r="E99" s="56">
        <f>SUM(E91:E98)</f>
        <v>121933.95999999999</v>
      </c>
      <c r="F99" s="54"/>
      <c r="G99" s="56">
        <f>SUM(G91:G98)</f>
        <v>0</v>
      </c>
      <c r="H99" s="309"/>
      <c r="I99" s="295"/>
    </row>
    <row r="100" spans="1:9" x14ac:dyDescent="0.2">
      <c r="A100" s="310"/>
      <c r="B100" s="310"/>
      <c r="C100" s="311"/>
      <c r="D100" s="310"/>
      <c r="E100" s="311"/>
      <c r="F100" s="312"/>
      <c r="G100" s="311"/>
      <c r="H100" s="313"/>
      <c r="I100" s="307"/>
    </row>
    <row r="101" spans="1:9" x14ac:dyDescent="0.2">
      <c r="A101" s="32" t="s">
        <v>975</v>
      </c>
      <c r="B101" s="135"/>
      <c r="C101" s="162"/>
      <c r="D101" s="136"/>
      <c r="E101" s="151"/>
      <c r="F101" s="53"/>
      <c r="G101" s="143"/>
      <c r="H101" s="135"/>
      <c r="I101" s="27"/>
    </row>
    <row r="102" spans="1:9" x14ac:dyDescent="0.2">
      <c r="A102" s="217"/>
      <c r="B102" s="135"/>
      <c r="C102" s="162"/>
      <c r="D102" s="136"/>
      <c r="E102" s="151"/>
      <c r="F102" s="53"/>
      <c r="G102" s="143"/>
      <c r="H102" s="135"/>
      <c r="I102" s="42"/>
    </row>
    <row r="103" spans="1:9" x14ac:dyDescent="0.2">
      <c r="A103" s="137"/>
      <c r="B103" s="145"/>
      <c r="C103" s="143"/>
      <c r="D103" s="53"/>
      <c r="E103" s="82"/>
      <c r="F103" s="52"/>
      <c r="G103" s="143"/>
      <c r="H103" s="145"/>
      <c r="I103" s="144"/>
    </row>
    <row r="104" spans="1:9" x14ac:dyDescent="0.2">
      <c r="A104" s="25" t="s">
        <v>43</v>
      </c>
      <c r="B104" s="26"/>
      <c r="C104" s="60">
        <f>SUM(C102:C103)</f>
        <v>0</v>
      </c>
      <c r="D104" s="26"/>
      <c r="E104" s="60">
        <f>SUM(E102:E103)</f>
        <v>0</v>
      </c>
      <c r="F104" s="26"/>
      <c r="G104" s="60">
        <f>SUM(G102:G103)</f>
        <v>0</v>
      </c>
      <c r="H104" s="26"/>
      <c r="I104" s="27"/>
    </row>
    <row r="105" spans="1:9" ht="13.5" thickBot="1" x14ac:dyDescent="0.25"/>
    <row r="106" spans="1:9" ht="21" thickBot="1" x14ac:dyDescent="0.25">
      <c r="A106" s="550" t="s">
        <v>865</v>
      </c>
      <c r="B106" s="551"/>
      <c r="C106" s="551"/>
      <c r="D106" s="551"/>
      <c r="E106" s="551"/>
      <c r="F106" s="551"/>
      <c r="G106" s="551"/>
      <c r="H106" s="551"/>
      <c r="I106" s="552"/>
    </row>
    <row r="107" spans="1:9" ht="20.25" x14ac:dyDescent="0.3">
      <c r="A107" s="39"/>
      <c r="B107" s="13" t="s">
        <v>859</v>
      </c>
      <c r="C107" s="13" t="s">
        <v>860</v>
      </c>
      <c r="D107" s="87" t="s">
        <v>861</v>
      </c>
      <c r="E107" s="14"/>
      <c r="F107" s="13"/>
      <c r="G107" s="13"/>
      <c r="H107" s="13"/>
      <c r="I107" s="37"/>
    </row>
    <row r="108" spans="1:9" ht="20.25" x14ac:dyDescent="0.3">
      <c r="A108" s="39" t="s">
        <v>864</v>
      </c>
      <c r="B108" s="205">
        <v>101125</v>
      </c>
      <c r="C108" s="205">
        <f>C142*1.03</f>
        <v>81867.259821779997</v>
      </c>
      <c r="D108" s="205">
        <v>143750</v>
      </c>
      <c r="E108" s="14"/>
      <c r="F108" s="13"/>
      <c r="G108" s="13"/>
      <c r="H108" s="13"/>
      <c r="I108" s="37"/>
    </row>
    <row r="109" spans="1:9" ht="20.25" x14ac:dyDescent="0.3">
      <c r="A109" s="39" t="s">
        <v>36</v>
      </c>
      <c r="B109" s="88">
        <f>IF(B148&gt;101125,101125,B148)</f>
        <v>0</v>
      </c>
      <c r="C109" s="88">
        <f>IF(C147&gt;81867.26,81867.264,C147)</f>
        <v>57414.540725999999</v>
      </c>
      <c r="D109" s="88">
        <f>IF(D148&gt;143750,143750,D148)</f>
        <v>1512.1799999999639</v>
      </c>
      <c r="E109" s="14"/>
      <c r="F109" s="13"/>
      <c r="G109" s="13"/>
      <c r="H109" s="13"/>
      <c r="I109" s="37"/>
    </row>
    <row r="110" spans="1:9" x14ac:dyDescent="0.2">
      <c r="A110" s="39" t="s">
        <v>862</v>
      </c>
      <c r="B110" s="88">
        <f>SUM(B108:B109)</f>
        <v>101125</v>
      </c>
      <c r="C110" s="88">
        <f>SUM(C108:C109)</f>
        <v>139281.80054778</v>
      </c>
      <c r="D110" s="88">
        <f>SUM(D108:D109)</f>
        <v>145262.17999999996</v>
      </c>
      <c r="E110" s="125" t="s">
        <v>107</v>
      </c>
      <c r="F110" s="13"/>
      <c r="G110" s="13"/>
      <c r="H110" s="13"/>
      <c r="I110" s="37"/>
    </row>
    <row r="111" spans="1:9" x14ac:dyDescent="0.2">
      <c r="A111" s="39" t="s">
        <v>47</v>
      </c>
      <c r="B111" s="88">
        <f>B148</f>
        <v>0</v>
      </c>
      <c r="C111" s="88">
        <f>IF(C148&gt;C143,C148,C143)</f>
        <v>57414.540725999999</v>
      </c>
      <c r="D111" s="88">
        <f>IF(D148&gt;143750, 143750,D148)</f>
        <v>1512.1799999999639</v>
      </c>
      <c r="E111" s="554"/>
      <c r="F111" s="554"/>
      <c r="G111" s="554"/>
      <c r="H111" s="554"/>
      <c r="I111" s="573"/>
    </row>
    <row r="112" spans="1:9" x14ac:dyDescent="0.2">
      <c r="A112" s="39" t="s">
        <v>479</v>
      </c>
      <c r="B112" s="88">
        <f>B108+B111</f>
        <v>101125</v>
      </c>
      <c r="C112" s="88">
        <f>C108+C111</f>
        <v>139281.80054778</v>
      </c>
      <c r="D112" s="88">
        <f>D108+D111</f>
        <v>145262.17999999996</v>
      </c>
      <c r="E112" s="146" t="s">
        <v>108</v>
      </c>
      <c r="F112" s="13"/>
      <c r="G112" s="13"/>
      <c r="H112" s="13"/>
      <c r="I112" s="37"/>
    </row>
    <row r="113" spans="1:9" x14ac:dyDescent="0.2">
      <c r="A113" s="39" t="s">
        <v>39</v>
      </c>
      <c r="B113" s="88">
        <f>B110-E118</f>
        <v>0</v>
      </c>
      <c r="C113" s="88">
        <f>C110-E122</f>
        <v>125709.05054778</v>
      </c>
      <c r="D113" s="88">
        <f>D110-E138</f>
        <v>21422.009999999966</v>
      </c>
      <c r="E113" s="146" t="s">
        <v>109</v>
      </c>
      <c r="F113" s="13"/>
      <c r="G113" s="13"/>
      <c r="H113" s="13"/>
      <c r="I113" s="37"/>
    </row>
    <row r="114" spans="1:9" ht="22.5" x14ac:dyDescent="0.2">
      <c r="A114" s="39" t="s">
        <v>132</v>
      </c>
      <c r="B114" s="296">
        <f>B112-E118-G118</f>
        <v>0</v>
      </c>
      <c r="C114" s="297">
        <f>C112-E122-G122</f>
        <v>31397.230547779996</v>
      </c>
      <c r="D114" s="379">
        <f>D112-E138-G138</f>
        <v>21422.009999999962</v>
      </c>
      <c r="E114" s="146" t="s">
        <v>110</v>
      </c>
      <c r="F114" s="140"/>
      <c r="G114" s="140"/>
      <c r="H114" s="140"/>
      <c r="I114" s="411" t="s">
        <v>1073</v>
      </c>
    </row>
    <row r="115" spans="1:9" ht="21" thickBot="1" x14ac:dyDescent="0.35">
      <c r="A115" s="39"/>
      <c r="B115" s="13"/>
      <c r="C115" s="13"/>
      <c r="D115" s="13"/>
      <c r="E115" s="14"/>
      <c r="F115" s="13"/>
      <c r="G115" s="13"/>
      <c r="H115" s="13"/>
      <c r="I115" s="37"/>
    </row>
    <row r="116" spans="1:9" ht="51" x14ac:dyDescent="0.2">
      <c r="A116" s="15" t="s">
        <v>41</v>
      </c>
      <c r="B116" s="16" t="s">
        <v>34</v>
      </c>
      <c r="C116" s="20" t="s">
        <v>64</v>
      </c>
      <c r="D116" s="20" t="s">
        <v>63</v>
      </c>
      <c r="E116" s="16" t="s">
        <v>37</v>
      </c>
      <c r="F116" s="16" t="s">
        <v>40</v>
      </c>
      <c r="G116" s="16" t="s">
        <v>46</v>
      </c>
      <c r="H116" s="16" t="s">
        <v>38</v>
      </c>
      <c r="I116" s="17" t="s">
        <v>5</v>
      </c>
    </row>
    <row r="117" spans="1:9" x14ac:dyDescent="0.2">
      <c r="A117" s="31" t="s">
        <v>10</v>
      </c>
      <c r="B117" s="23" t="s">
        <v>10</v>
      </c>
      <c r="C117" s="57">
        <v>101125</v>
      </c>
      <c r="D117" s="50">
        <v>44586</v>
      </c>
      <c r="E117" s="57">
        <f>C117</f>
        <v>101125</v>
      </c>
      <c r="F117" s="23" t="s">
        <v>881</v>
      </c>
      <c r="G117" s="23"/>
      <c r="H117" s="23" t="s">
        <v>487</v>
      </c>
      <c r="I117" s="24"/>
    </row>
    <row r="118" spans="1:9" x14ac:dyDescent="0.2">
      <c r="A118" s="25" t="s">
        <v>43</v>
      </c>
      <c r="B118" s="26"/>
      <c r="C118" s="61">
        <f>C117</f>
        <v>101125</v>
      </c>
      <c r="D118" s="26"/>
      <c r="E118" s="61">
        <f>E117</f>
        <v>101125</v>
      </c>
      <c r="F118" s="26"/>
      <c r="G118" s="58"/>
      <c r="H118" s="26"/>
      <c r="I118" s="27"/>
    </row>
    <row r="119" spans="1:9" x14ac:dyDescent="0.2">
      <c r="A119" s="33"/>
      <c r="B119" s="33"/>
      <c r="C119" s="59"/>
      <c r="D119" s="33"/>
      <c r="E119" s="59"/>
      <c r="F119" s="33"/>
      <c r="G119" s="59"/>
      <c r="H119" s="33"/>
      <c r="I119" s="33"/>
    </row>
    <row r="120" spans="1:9" x14ac:dyDescent="0.2">
      <c r="A120" s="32" t="s">
        <v>44</v>
      </c>
      <c r="B120" s="26" t="s">
        <v>567</v>
      </c>
      <c r="C120" s="58">
        <v>13572.75</v>
      </c>
      <c r="D120" s="50" t="s">
        <v>911</v>
      </c>
      <c r="E120" s="58">
        <v>13572.75</v>
      </c>
      <c r="F120" s="26" t="s">
        <v>911</v>
      </c>
      <c r="G120" s="83">
        <f>C120-E120</f>
        <v>0</v>
      </c>
      <c r="H120" s="26" t="s">
        <v>487</v>
      </c>
      <c r="I120" s="43"/>
    </row>
    <row r="121" spans="1:9" x14ac:dyDescent="0.2">
      <c r="A121" s="32"/>
      <c r="B121" s="26" t="s">
        <v>567</v>
      </c>
      <c r="C121" s="261"/>
      <c r="D121" s="262"/>
      <c r="E121" s="261"/>
      <c r="F121" s="26" t="s">
        <v>937</v>
      </c>
      <c r="G121" s="83">
        <v>94311.82</v>
      </c>
      <c r="H121" s="26" t="s">
        <v>487</v>
      </c>
      <c r="I121" s="43"/>
    </row>
    <row r="122" spans="1:9" x14ac:dyDescent="0.2">
      <c r="A122" s="25" t="s">
        <v>43</v>
      </c>
      <c r="B122" s="26"/>
      <c r="C122" s="60">
        <f>C120+C121</f>
        <v>13572.75</v>
      </c>
      <c r="D122" s="26"/>
      <c r="E122" s="60">
        <f>E120+E121</f>
        <v>13572.75</v>
      </c>
      <c r="F122" s="26"/>
      <c r="G122" s="60">
        <f>SUM(G120:G121)</f>
        <v>94311.82</v>
      </c>
      <c r="H122" s="26"/>
      <c r="I122" s="27"/>
    </row>
    <row r="123" spans="1:9" x14ac:dyDescent="0.2">
      <c r="A123" s="33"/>
      <c r="B123" s="33"/>
      <c r="C123" s="59"/>
      <c r="D123" s="33"/>
      <c r="E123" s="59"/>
      <c r="F123" s="33"/>
      <c r="G123" s="59"/>
      <c r="H123" s="33"/>
      <c r="I123" s="33"/>
    </row>
    <row r="124" spans="1:9" x14ac:dyDescent="0.2">
      <c r="A124" s="32" t="s">
        <v>42</v>
      </c>
      <c r="B124" s="135"/>
      <c r="C124" s="162"/>
      <c r="D124" s="136"/>
      <c r="E124" s="151"/>
      <c r="F124" s="53"/>
      <c r="G124" s="143"/>
      <c r="H124" s="135"/>
      <c r="I124" s="27"/>
    </row>
    <row r="125" spans="1:9" x14ac:dyDescent="0.2">
      <c r="A125" s="147"/>
      <c r="B125" s="135" t="s">
        <v>532</v>
      </c>
      <c r="C125" s="142">
        <v>26201.79</v>
      </c>
      <c r="D125" s="136" t="s">
        <v>845</v>
      </c>
      <c r="E125" s="443">
        <f>8577.99-3798.21</f>
        <v>4779.78</v>
      </c>
      <c r="F125" s="444" t="s">
        <v>1178</v>
      </c>
      <c r="G125" s="143">
        <f>26201.79-(8577.99-3798.21)</f>
        <v>21422.010000000002</v>
      </c>
      <c r="H125" s="135" t="s">
        <v>834</v>
      </c>
      <c r="I125" s="42" t="s">
        <v>866</v>
      </c>
    </row>
    <row r="126" spans="1:9" x14ac:dyDescent="0.2">
      <c r="A126" s="147"/>
      <c r="B126" s="135"/>
      <c r="C126" s="142"/>
      <c r="D126" s="136"/>
      <c r="E126" s="246"/>
      <c r="F126" s="53"/>
      <c r="G126" s="143">
        <v>-21422.01</v>
      </c>
      <c r="H126" s="135"/>
      <c r="I126" s="42" t="s">
        <v>1179</v>
      </c>
    </row>
    <row r="127" spans="1:9" x14ac:dyDescent="0.2">
      <c r="A127" s="147"/>
      <c r="B127" s="135"/>
      <c r="C127" s="142"/>
      <c r="D127" s="136"/>
      <c r="E127" s="246"/>
      <c r="F127" s="53"/>
      <c r="G127" s="143"/>
      <c r="H127" s="135"/>
      <c r="I127" s="42"/>
    </row>
    <row r="128" spans="1:9" x14ac:dyDescent="0.2">
      <c r="A128" s="147"/>
      <c r="B128" s="135" t="s">
        <v>532</v>
      </c>
      <c r="C128" s="162">
        <v>27642.18</v>
      </c>
      <c r="D128" s="136" t="s">
        <v>912</v>
      </c>
      <c r="E128" s="261">
        <v>27642.18</v>
      </c>
      <c r="F128" s="53" t="s">
        <v>926</v>
      </c>
      <c r="G128" s="143"/>
      <c r="H128" s="135" t="s">
        <v>903</v>
      </c>
      <c r="I128" s="42"/>
    </row>
    <row r="129" spans="1:9" x14ac:dyDescent="0.2">
      <c r="A129" s="137"/>
      <c r="B129" s="145" t="s">
        <v>532</v>
      </c>
      <c r="C129" s="143">
        <v>18428.12</v>
      </c>
      <c r="D129" s="53" t="s">
        <v>910</v>
      </c>
      <c r="E129" s="82">
        <v>18428.12</v>
      </c>
      <c r="F129" s="52" t="s">
        <v>927</v>
      </c>
      <c r="G129" s="143"/>
      <c r="H129" s="145" t="s">
        <v>904</v>
      </c>
      <c r="I129" s="144"/>
    </row>
    <row r="130" spans="1:9" x14ac:dyDescent="0.2">
      <c r="A130" s="137"/>
      <c r="B130" s="145" t="s">
        <v>10</v>
      </c>
      <c r="C130" s="143">
        <v>22272</v>
      </c>
      <c r="D130" s="53" t="s">
        <v>916</v>
      </c>
      <c r="E130" s="82">
        <v>17299</v>
      </c>
      <c r="F130" s="52" t="s">
        <v>1014</v>
      </c>
      <c r="G130" s="143">
        <f>22272-17299</f>
        <v>4973</v>
      </c>
      <c r="H130" s="145" t="s">
        <v>904</v>
      </c>
      <c r="I130" s="144"/>
    </row>
    <row r="131" spans="1:9" x14ac:dyDescent="0.2">
      <c r="A131" s="137"/>
      <c r="B131" s="145"/>
      <c r="C131" s="143"/>
      <c r="D131" s="53"/>
      <c r="E131" s="82"/>
      <c r="F131" s="52"/>
      <c r="G131" s="143">
        <v>-4973</v>
      </c>
      <c r="H131" s="145"/>
      <c r="I131" s="144" t="s">
        <v>1012</v>
      </c>
    </row>
    <row r="132" spans="1:9" x14ac:dyDescent="0.2">
      <c r="A132" s="137"/>
      <c r="B132" s="293" t="s">
        <v>10</v>
      </c>
      <c r="C132" s="294">
        <v>50000</v>
      </c>
      <c r="D132" s="53" t="s">
        <v>917</v>
      </c>
      <c r="E132" s="82">
        <v>48380</v>
      </c>
      <c r="F132" s="52" t="s">
        <v>1015</v>
      </c>
      <c r="G132" s="294">
        <f>50000-E132</f>
        <v>1620</v>
      </c>
      <c r="H132" s="293" t="s">
        <v>903</v>
      </c>
      <c r="I132" s="295"/>
    </row>
    <row r="133" spans="1:9" x14ac:dyDescent="0.2">
      <c r="A133" s="137"/>
      <c r="B133" s="145"/>
      <c r="C133" s="143"/>
      <c r="D133" s="53"/>
      <c r="E133" s="82"/>
      <c r="F133" s="52"/>
      <c r="G133" s="143">
        <v>-1620</v>
      </c>
      <c r="H133" s="145"/>
      <c r="I133" s="144" t="s">
        <v>1012</v>
      </c>
    </row>
    <row r="134" spans="1:9" x14ac:dyDescent="0.2">
      <c r="A134" s="137"/>
      <c r="B134" s="145" t="s">
        <v>263</v>
      </c>
      <c r="C134" s="151">
        <v>16936</v>
      </c>
      <c r="D134" s="53">
        <v>44679</v>
      </c>
      <c r="E134" s="82"/>
      <c r="F134" s="52"/>
      <c r="G134" s="143"/>
      <c r="H134" s="145" t="s">
        <v>903</v>
      </c>
      <c r="I134" s="144" t="s">
        <v>1022</v>
      </c>
    </row>
    <row r="135" spans="1:9" x14ac:dyDescent="0.2">
      <c r="A135" s="137"/>
      <c r="B135" s="145"/>
      <c r="C135" s="143">
        <v>-16936</v>
      </c>
      <c r="D135" s="53">
        <v>44795</v>
      </c>
      <c r="E135" s="82"/>
      <c r="F135" s="52"/>
      <c r="G135" s="143"/>
      <c r="H135" s="145"/>
      <c r="I135" s="144" t="s">
        <v>1023</v>
      </c>
    </row>
    <row r="136" spans="1:9" x14ac:dyDescent="0.2">
      <c r="A136" s="150" t="s">
        <v>113</v>
      </c>
      <c r="B136" s="145"/>
      <c r="C136" s="143"/>
      <c r="D136" s="53">
        <v>44859</v>
      </c>
      <c r="E136" s="82"/>
      <c r="F136" s="52"/>
      <c r="G136" s="143"/>
      <c r="H136" s="145"/>
      <c r="I136" s="42" t="s">
        <v>1024</v>
      </c>
    </row>
    <row r="137" spans="1:9" ht="25.5" x14ac:dyDescent="0.2">
      <c r="A137" s="150"/>
      <c r="B137" s="145"/>
      <c r="C137" s="382">
        <v>22120</v>
      </c>
      <c r="D137" s="378" t="s">
        <v>1071</v>
      </c>
      <c r="E137" s="417">
        <v>7311.09</v>
      </c>
      <c r="F137" s="418" t="s">
        <v>1126</v>
      </c>
      <c r="G137" s="143"/>
      <c r="H137" s="145"/>
      <c r="I137" s="383" t="s">
        <v>1072</v>
      </c>
    </row>
    <row r="138" spans="1:9" ht="13.5" thickBot="1" x14ac:dyDescent="0.25">
      <c r="A138" s="28" t="s">
        <v>43</v>
      </c>
      <c r="B138" s="29"/>
      <c r="C138" s="56">
        <f>SUM(C124:C137)</f>
        <v>166664.09</v>
      </c>
      <c r="D138" s="29"/>
      <c r="E138" s="56">
        <f>SUM(E124:E137)</f>
        <v>123840.17</v>
      </c>
      <c r="F138" s="54"/>
      <c r="G138" s="56">
        <f>SUM(G124:G137)</f>
        <v>3.637978807091713E-12</v>
      </c>
      <c r="H138" s="29"/>
      <c r="I138" s="30"/>
    </row>
    <row r="139" spans="1:9" ht="13.5" thickBot="1" x14ac:dyDescent="0.25"/>
    <row r="140" spans="1:9" ht="21" thickBot="1" x14ac:dyDescent="0.25">
      <c r="A140" s="550" t="s">
        <v>783</v>
      </c>
      <c r="B140" s="551"/>
      <c r="C140" s="551"/>
      <c r="D140" s="551"/>
      <c r="E140" s="551"/>
      <c r="F140" s="551"/>
      <c r="G140" s="551"/>
      <c r="H140" s="551"/>
      <c r="I140" s="552"/>
    </row>
    <row r="141" spans="1:9" ht="20.25" x14ac:dyDescent="0.3">
      <c r="A141" s="39"/>
      <c r="B141" s="13" t="s">
        <v>780</v>
      </c>
      <c r="C141" s="13" t="s">
        <v>781</v>
      </c>
      <c r="D141" s="87" t="s">
        <v>782</v>
      </c>
      <c r="E141" s="14"/>
      <c r="F141" s="13"/>
      <c r="G141" s="13"/>
      <c r="H141" s="13"/>
      <c r="I141" s="37"/>
    </row>
    <row r="142" spans="1:9" ht="20.25" x14ac:dyDescent="0.3">
      <c r="A142" s="39" t="s">
        <v>784</v>
      </c>
      <c r="B142" s="205">
        <v>101125</v>
      </c>
      <c r="C142" s="205">
        <f>C177*1.03</f>
        <v>79482.776526000001</v>
      </c>
      <c r="D142" s="205">
        <v>143750</v>
      </c>
      <c r="E142" s="14"/>
      <c r="F142" s="13"/>
      <c r="G142" s="13"/>
      <c r="H142" s="13"/>
      <c r="I142" s="37"/>
    </row>
    <row r="143" spans="1:9" ht="20.25" x14ac:dyDescent="0.3">
      <c r="A143" s="39" t="s">
        <v>36</v>
      </c>
      <c r="B143" s="88">
        <f>IF(B182&gt;101125,101125,B182)</f>
        <v>0</v>
      </c>
      <c r="C143" s="88">
        <f>IF(C182&gt;74920.14,74920.14,C182)</f>
        <v>4.1999999957624823E-3</v>
      </c>
      <c r="D143" s="88">
        <f>IF(D182&gt;143750,143750,D182)</f>
        <v>55151.929999999964</v>
      </c>
      <c r="E143" s="14"/>
      <c r="F143" s="13"/>
      <c r="G143" s="13"/>
      <c r="H143" s="13"/>
      <c r="I143" s="37"/>
    </row>
    <row r="144" spans="1:9" x14ac:dyDescent="0.2">
      <c r="A144" s="39" t="s">
        <v>785</v>
      </c>
      <c r="B144" s="88">
        <f>SUM(B142:B143)</f>
        <v>101125</v>
      </c>
      <c r="C144" s="88">
        <f>SUM(C142:C143)</f>
        <v>79482.780725999997</v>
      </c>
      <c r="D144" s="88">
        <f>SUM(D142:D143)</f>
        <v>198901.92999999996</v>
      </c>
      <c r="E144" s="125" t="s">
        <v>107</v>
      </c>
      <c r="F144" s="13"/>
      <c r="G144" s="13"/>
      <c r="H144" s="13"/>
      <c r="I144" s="37"/>
    </row>
    <row r="145" spans="1:9" x14ac:dyDescent="0.2">
      <c r="A145" s="39" t="s">
        <v>47</v>
      </c>
      <c r="B145" s="88">
        <f>B182</f>
        <v>0</v>
      </c>
      <c r="C145" s="88">
        <f>IF(C182&gt;C177,C177,C182)</f>
        <v>4.1999999957624823E-3</v>
      </c>
      <c r="D145" s="88">
        <f>IF(D183&gt;143750, 143750,D183)</f>
        <v>13838.179999999964</v>
      </c>
      <c r="E145" s="554"/>
      <c r="F145" s="554"/>
      <c r="G145" s="554"/>
      <c r="H145" s="554"/>
      <c r="I145" s="573"/>
    </row>
    <row r="146" spans="1:9" x14ac:dyDescent="0.2">
      <c r="A146" s="39" t="s">
        <v>479</v>
      </c>
      <c r="B146" s="88">
        <f>B142+B145</f>
        <v>101125</v>
      </c>
      <c r="C146" s="88">
        <f>C142+C145</f>
        <v>79482.780725999997</v>
      </c>
      <c r="D146" s="88">
        <f>D142+D145</f>
        <v>157588.17999999996</v>
      </c>
      <c r="E146" s="146" t="s">
        <v>108</v>
      </c>
      <c r="F146" s="13"/>
      <c r="G146" s="13"/>
      <c r="H146" s="13"/>
      <c r="I146" s="37"/>
    </row>
    <row r="147" spans="1:9" x14ac:dyDescent="0.2">
      <c r="A147" s="39" t="s">
        <v>39</v>
      </c>
      <c r="B147" s="88">
        <f>B144-E152</f>
        <v>0</v>
      </c>
      <c r="C147" s="88">
        <f>C144-E156</f>
        <v>57414.540725999999</v>
      </c>
      <c r="D147" s="88">
        <f>D144-E172</f>
        <v>49705.929999999964</v>
      </c>
      <c r="E147" s="146" t="s">
        <v>109</v>
      </c>
      <c r="F147" s="13"/>
      <c r="G147" s="13"/>
      <c r="H147" s="13"/>
      <c r="I147" s="37"/>
    </row>
    <row r="148" spans="1:9" x14ac:dyDescent="0.2">
      <c r="A148" s="39" t="s">
        <v>132</v>
      </c>
      <c r="B148" s="89">
        <f>B146-E152-G152</f>
        <v>0</v>
      </c>
      <c r="C148" s="90">
        <f>C146-E156-G156</f>
        <v>57414.540725999999</v>
      </c>
      <c r="D148" s="90">
        <f>D146-E172-G172</f>
        <v>1512.1799999999639</v>
      </c>
      <c r="E148" s="146" t="s">
        <v>110</v>
      </c>
      <c r="F148" s="140"/>
      <c r="G148" s="140"/>
      <c r="H148" s="140"/>
      <c r="I148" s="37"/>
    </row>
    <row r="149" spans="1:9" ht="21" thickBot="1" x14ac:dyDescent="0.35">
      <c r="A149" s="39"/>
      <c r="B149" s="13"/>
      <c r="C149" s="13"/>
      <c r="D149" s="13"/>
      <c r="E149" s="14"/>
      <c r="F149" s="13"/>
      <c r="G149" s="13"/>
      <c r="H149" s="13"/>
      <c r="I149" s="37"/>
    </row>
    <row r="150" spans="1:9" ht="51" x14ac:dyDescent="0.2">
      <c r="A150" s="15" t="s">
        <v>41</v>
      </c>
      <c r="B150" s="16" t="s">
        <v>34</v>
      </c>
      <c r="C150" s="20" t="s">
        <v>64</v>
      </c>
      <c r="D150" s="20" t="s">
        <v>63</v>
      </c>
      <c r="E150" s="16" t="s">
        <v>37</v>
      </c>
      <c r="F150" s="16" t="s">
        <v>40</v>
      </c>
      <c r="G150" s="16" t="s">
        <v>46</v>
      </c>
      <c r="H150" s="16" t="s">
        <v>38</v>
      </c>
      <c r="I150" s="17" t="s">
        <v>5</v>
      </c>
    </row>
    <row r="151" spans="1:9" x14ac:dyDescent="0.2">
      <c r="A151" s="31" t="s">
        <v>10</v>
      </c>
      <c r="B151" s="23" t="s">
        <v>10</v>
      </c>
      <c r="C151" s="57">
        <v>101125</v>
      </c>
      <c r="D151" s="50">
        <v>44201</v>
      </c>
      <c r="E151" s="57">
        <f>C151</f>
        <v>101125</v>
      </c>
      <c r="F151" s="23" t="s">
        <v>798</v>
      </c>
      <c r="G151" s="23"/>
      <c r="H151" s="23" t="s">
        <v>487</v>
      </c>
      <c r="I151" s="24"/>
    </row>
    <row r="152" spans="1:9" x14ac:dyDescent="0.2">
      <c r="A152" s="25" t="s">
        <v>43</v>
      </c>
      <c r="B152" s="26"/>
      <c r="C152" s="61">
        <f>C151</f>
        <v>101125</v>
      </c>
      <c r="D152" s="26"/>
      <c r="E152" s="61">
        <f>E151</f>
        <v>101125</v>
      </c>
      <c r="F152" s="26"/>
      <c r="G152" s="58"/>
      <c r="H152" s="26"/>
      <c r="I152" s="27"/>
    </row>
    <row r="153" spans="1:9" x14ac:dyDescent="0.2">
      <c r="A153" s="33"/>
      <c r="B153" s="33"/>
      <c r="C153" s="59"/>
      <c r="D153" s="33"/>
      <c r="E153" s="59"/>
      <c r="F153" s="33"/>
      <c r="G153" s="59"/>
      <c r="H153" s="33"/>
      <c r="I153" s="33"/>
    </row>
    <row r="154" spans="1:9" x14ac:dyDescent="0.2">
      <c r="A154" s="32" t="s">
        <v>44</v>
      </c>
      <c r="B154" s="26" t="s">
        <v>567</v>
      </c>
      <c r="C154" s="58">
        <v>6728.66</v>
      </c>
      <c r="D154" s="50">
        <v>44292</v>
      </c>
      <c r="E154" s="58">
        <v>6728.66</v>
      </c>
      <c r="F154" s="26" t="s">
        <v>822</v>
      </c>
      <c r="G154" s="83">
        <f>C154-E154</f>
        <v>0</v>
      </c>
      <c r="H154" s="26" t="s">
        <v>604</v>
      </c>
      <c r="I154" s="43"/>
    </row>
    <row r="155" spans="1:9" x14ac:dyDescent="0.2">
      <c r="A155" s="32"/>
      <c r="B155" s="26" t="s">
        <v>567</v>
      </c>
      <c r="C155" s="261">
        <v>15339.58</v>
      </c>
      <c r="D155" s="262">
        <v>44466</v>
      </c>
      <c r="E155" s="261">
        <v>15339.58</v>
      </c>
      <c r="F155" s="26" t="s">
        <v>841</v>
      </c>
      <c r="G155" s="83">
        <v>0</v>
      </c>
      <c r="H155" s="26" t="s">
        <v>487</v>
      </c>
      <c r="I155" s="43"/>
    </row>
    <row r="156" spans="1:9" x14ac:dyDescent="0.2">
      <c r="A156" s="25" t="s">
        <v>43</v>
      </c>
      <c r="B156" s="26"/>
      <c r="C156" s="60">
        <f>C154+C155</f>
        <v>22068.239999999998</v>
      </c>
      <c r="D156" s="26"/>
      <c r="E156" s="60">
        <f>E154+E155</f>
        <v>22068.239999999998</v>
      </c>
      <c r="F156" s="26"/>
      <c r="G156" s="60">
        <f>SUM(G154:G155)</f>
        <v>0</v>
      </c>
      <c r="H156" s="26"/>
      <c r="I156" s="27"/>
    </row>
    <row r="157" spans="1:9" x14ac:dyDescent="0.2">
      <c r="A157" s="33"/>
      <c r="B157" s="33"/>
      <c r="C157" s="59"/>
      <c r="D157" s="33"/>
      <c r="E157" s="59"/>
      <c r="F157" s="33"/>
      <c r="G157" s="59"/>
      <c r="H157" s="33"/>
      <c r="I157" s="33"/>
    </row>
    <row r="158" spans="1:9" x14ac:dyDescent="0.2">
      <c r="A158" s="32" t="s">
        <v>42</v>
      </c>
      <c r="B158" s="135"/>
      <c r="C158" s="162"/>
      <c r="D158" s="136"/>
      <c r="E158" s="151"/>
      <c r="F158" s="53"/>
      <c r="G158" s="143"/>
      <c r="H158" s="135"/>
      <c r="I158" s="27"/>
    </row>
    <row r="159" spans="1:9" x14ac:dyDescent="0.2">
      <c r="A159" s="147"/>
      <c r="B159" s="135" t="s">
        <v>10</v>
      </c>
      <c r="C159" s="162">
        <v>55000</v>
      </c>
      <c r="D159" s="136" t="s">
        <v>808</v>
      </c>
      <c r="E159" s="151">
        <v>20853</v>
      </c>
      <c r="F159" s="53" t="s">
        <v>825</v>
      </c>
      <c r="G159" s="143">
        <f>C159-E159-E160</f>
        <v>6880</v>
      </c>
      <c r="H159" s="135" t="s">
        <v>802</v>
      </c>
      <c r="I159" s="42" t="s">
        <v>854</v>
      </c>
    </row>
    <row r="160" spans="1:9" x14ac:dyDescent="0.2">
      <c r="A160" s="147"/>
      <c r="B160" s="135"/>
      <c r="C160" s="162"/>
      <c r="D160" s="136"/>
      <c r="E160" s="151">
        <v>27267</v>
      </c>
      <c r="F160" s="53" t="s">
        <v>855</v>
      </c>
      <c r="G160" s="143"/>
      <c r="H160" s="135"/>
      <c r="I160" s="42"/>
    </row>
    <row r="161" spans="1:9" x14ac:dyDescent="0.2">
      <c r="A161" s="137"/>
      <c r="B161" s="145" t="s">
        <v>532</v>
      </c>
      <c r="C161" s="143">
        <f>30000+39094</f>
        <v>69094</v>
      </c>
      <c r="D161" s="53" t="s">
        <v>830</v>
      </c>
      <c r="E161" s="82">
        <v>65295.79</v>
      </c>
      <c r="F161" s="52" t="s">
        <v>838</v>
      </c>
      <c r="G161" s="143">
        <f>C161-E161</f>
        <v>3798.2099999999991</v>
      </c>
      <c r="H161" s="145" t="s">
        <v>802</v>
      </c>
      <c r="I161" s="144" t="s">
        <v>826</v>
      </c>
    </row>
    <row r="162" spans="1:9" x14ac:dyDescent="0.2">
      <c r="A162" s="137"/>
      <c r="B162" s="145"/>
      <c r="C162" s="143"/>
      <c r="D162" s="53"/>
      <c r="E162" s="82"/>
      <c r="F162" s="52"/>
      <c r="G162" s="143">
        <f>-G161</f>
        <v>-3798.2099999999991</v>
      </c>
      <c r="H162" s="145"/>
      <c r="I162" s="144" t="s">
        <v>835</v>
      </c>
    </row>
    <row r="163" spans="1:9" x14ac:dyDescent="0.2">
      <c r="A163" s="346"/>
      <c r="B163" s="351" t="s">
        <v>10</v>
      </c>
      <c r="C163" s="352">
        <v>10000</v>
      </c>
      <c r="D163" s="353" t="s">
        <v>815</v>
      </c>
      <c r="E163" s="354">
        <v>9282</v>
      </c>
      <c r="F163" s="355" t="s">
        <v>1010</v>
      </c>
      <c r="G163" s="352">
        <f>10000-E163</f>
        <v>718</v>
      </c>
      <c r="H163" s="351" t="s">
        <v>810</v>
      </c>
      <c r="I163" s="356"/>
    </row>
    <row r="164" spans="1:9" x14ac:dyDescent="0.2">
      <c r="A164" s="346"/>
      <c r="B164" s="351"/>
      <c r="C164" s="352"/>
      <c r="D164" s="353"/>
      <c r="E164" s="354"/>
      <c r="F164" s="355"/>
      <c r="G164" s="352">
        <v>-718</v>
      </c>
      <c r="H164" s="351"/>
      <c r="I164" s="356" t="s">
        <v>99</v>
      </c>
    </row>
    <row r="165" spans="1:9" x14ac:dyDescent="0.2">
      <c r="A165" s="137"/>
      <c r="B165" s="145" t="s">
        <v>532</v>
      </c>
      <c r="C165" s="143">
        <v>9700</v>
      </c>
      <c r="D165" s="53" t="s">
        <v>829</v>
      </c>
      <c r="E165" s="82">
        <v>2615.4499999999998</v>
      </c>
      <c r="F165" s="52" t="s">
        <v>839</v>
      </c>
      <c r="G165" s="143"/>
      <c r="H165" s="145" t="s">
        <v>688</v>
      </c>
      <c r="I165" s="144" t="s">
        <v>827</v>
      </c>
    </row>
    <row r="166" spans="1:9" x14ac:dyDescent="0.2">
      <c r="A166" s="137"/>
      <c r="B166" s="145"/>
      <c r="C166" s="143"/>
      <c r="D166" s="53">
        <v>45376</v>
      </c>
      <c r="E166" s="82">
        <v>7084.55</v>
      </c>
      <c r="F166" s="52" t="s">
        <v>1176</v>
      </c>
      <c r="G166" s="143"/>
      <c r="H166" s="145"/>
      <c r="I166" s="441" t="s">
        <v>1174</v>
      </c>
    </row>
    <row r="167" spans="1:9" ht="25.5" x14ac:dyDescent="0.2">
      <c r="A167" s="137"/>
      <c r="B167" s="145" t="s">
        <v>532</v>
      </c>
      <c r="C167" s="151">
        <v>3798.21</v>
      </c>
      <c r="D167" s="53" t="s">
        <v>845</v>
      </c>
      <c r="E167" s="82"/>
      <c r="F167" s="52"/>
      <c r="G167" s="143"/>
      <c r="H167" s="145" t="s">
        <v>834</v>
      </c>
      <c r="I167" s="144" t="s">
        <v>837</v>
      </c>
    </row>
    <row r="168" spans="1:9" x14ac:dyDescent="0.2">
      <c r="A168" s="137"/>
      <c r="B168" s="145"/>
      <c r="C168" s="151"/>
      <c r="D168" s="53"/>
      <c r="E168" s="82">
        <v>3798.21</v>
      </c>
      <c r="F168" s="442" t="s">
        <v>1178</v>
      </c>
      <c r="G168" s="143"/>
      <c r="H168" s="145"/>
      <c r="I168" s="144" t="s">
        <v>1175</v>
      </c>
    </row>
    <row r="169" spans="1:9" x14ac:dyDescent="0.2">
      <c r="A169" s="137"/>
      <c r="B169" s="145" t="s">
        <v>10</v>
      </c>
      <c r="C169" s="143">
        <v>8000</v>
      </c>
      <c r="D169" s="53" t="s">
        <v>844</v>
      </c>
      <c r="E169" s="82">
        <v>8000</v>
      </c>
      <c r="F169" s="52" t="s">
        <v>849</v>
      </c>
      <c r="G169" s="143">
        <v>0</v>
      </c>
      <c r="H169" s="145" t="s">
        <v>836</v>
      </c>
      <c r="I169" s="144"/>
    </row>
    <row r="170" spans="1:9" x14ac:dyDescent="0.2">
      <c r="A170" s="150" t="s">
        <v>113</v>
      </c>
      <c r="B170" s="145" t="s">
        <v>10</v>
      </c>
      <c r="C170" s="143">
        <v>5000</v>
      </c>
      <c r="D170" s="53" t="s">
        <v>851</v>
      </c>
      <c r="E170" s="82">
        <v>5000</v>
      </c>
      <c r="F170" s="52"/>
      <c r="G170" s="468" t="s">
        <v>1228</v>
      </c>
      <c r="H170" s="145" t="s">
        <v>834</v>
      </c>
      <c r="I170" s="42"/>
    </row>
    <row r="171" spans="1:9" x14ac:dyDescent="0.2">
      <c r="A171" s="150"/>
      <c r="B171" s="145"/>
      <c r="C171" s="143"/>
      <c r="D171" s="53"/>
      <c r="E171" s="82"/>
      <c r="F171" s="52"/>
      <c r="G171" s="143"/>
      <c r="H171" s="145"/>
      <c r="I171" s="42"/>
    </row>
    <row r="172" spans="1:9" ht="13.5" thickBot="1" x14ac:dyDescent="0.25">
      <c r="A172" s="28" t="s">
        <v>43</v>
      </c>
      <c r="B172" s="29"/>
      <c r="C172" s="56">
        <f>SUM(C158:C171)</f>
        <v>160592.21</v>
      </c>
      <c r="D172" s="29"/>
      <c r="E172" s="56">
        <f>SUM(E158:E171)</f>
        <v>149196</v>
      </c>
      <c r="F172" s="54"/>
      <c r="G172" s="56">
        <f>SUM(G158:G171)</f>
        <v>6880</v>
      </c>
      <c r="H172" s="29"/>
      <c r="I172" s="30"/>
    </row>
    <row r="174" spans="1:9" ht="13.5" thickBot="1" x14ac:dyDescent="0.25"/>
    <row r="175" spans="1:9" ht="21" thickBot="1" x14ac:dyDescent="0.25">
      <c r="A175" s="550" t="s">
        <v>700</v>
      </c>
      <c r="B175" s="551"/>
      <c r="C175" s="551"/>
      <c r="D175" s="551"/>
      <c r="E175" s="551"/>
      <c r="F175" s="551"/>
      <c r="G175" s="551"/>
      <c r="H175" s="551"/>
      <c r="I175" s="552"/>
    </row>
    <row r="176" spans="1:9" ht="20.25" x14ac:dyDescent="0.3">
      <c r="A176" s="39"/>
      <c r="B176" s="13" t="s">
        <v>697</v>
      </c>
      <c r="C176" s="13" t="s">
        <v>698</v>
      </c>
      <c r="D176" s="87" t="s">
        <v>699</v>
      </c>
      <c r="E176" s="14"/>
      <c r="F176" s="13"/>
      <c r="G176" s="13"/>
      <c r="H176" s="13"/>
      <c r="I176" s="37"/>
    </row>
    <row r="177" spans="1:9" ht="20.25" x14ac:dyDescent="0.3">
      <c r="A177" s="39" t="s">
        <v>701</v>
      </c>
      <c r="B177" s="205">
        <v>101125</v>
      </c>
      <c r="C177" s="205">
        <f>74920.14*1.03</f>
        <v>77167.744200000001</v>
      </c>
      <c r="D177" s="205">
        <v>143750</v>
      </c>
      <c r="E177" s="14"/>
      <c r="F177" s="13"/>
      <c r="G177" s="13"/>
      <c r="H177" s="13"/>
      <c r="I177" s="37"/>
    </row>
    <row r="178" spans="1:9" ht="20.25" x14ac:dyDescent="0.3">
      <c r="A178" s="39" t="s">
        <v>36</v>
      </c>
      <c r="B178" s="88">
        <f>IF(B219&gt;101125,101125,B219)</f>
        <v>0</v>
      </c>
      <c r="C178" s="88">
        <f>IF(C219&gt;74920.14,74920.14,C219)</f>
        <v>74920.14</v>
      </c>
      <c r="D178" s="88">
        <f>IF(D219&gt;143750,143750,D219)</f>
        <v>57744.929999999964</v>
      </c>
      <c r="E178" s="14"/>
      <c r="F178" s="13"/>
      <c r="G178" s="13"/>
      <c r="H178" s="13"/>
      <c r="I178" s="37"/>
    </row>
    <row r="179" spans="1:9" x14ac:dyDescent="0.2">
      <c r="A179" s="39" t="s">
        <v>702</v>
      </c>
      <c r="B179" s="88">
        <f>SUM(B177:B178)</f>
        <v>101125</v>
      </c>
      <c r="C179" s="88">
        <f>SUM(C177:C178)</f>
        <v>152087.8842</v>
      </c>
      <c r="D179" s="88">
        <f>SUM(D177:D178)</f>
        <v>201494.92999999996</v>
      </c>
      <c r="E179" s="125" t="s">
        <v>107</v>
      </c>
      <c r="F179" s="13"/>
      <c r="G179" s="13"/>
      <c r="H179" s="13"/>
      <c r="I179" s="37"/>
    </row>
    <row r="180" spans="1:9" x14ac:dyDescent="0.2">
      <c r="A180" s="39" t="s">
        <v>47</v>
      </c>
      <c r="B180" s="88">
        <f>B220</f>
        <v>0</v>
      </c>
      <c r="C180" s="88">
        <f>IF(C220&gt;74920.14,74920.14,C220)</f>
        <v>74920.14</v>
      </c>
      <c r="D180" s="88">
        <f>IF(D220&gt;143750, 143750,D220)</f>
        <v>20969.179999999964</v>
      </c>
      <c r="E180" s="554"/>
      <c r="F180" s="554"/>
      <c r="G180" s="554"/>
      <c r="H180" s="554"/>
      <c r="I180" s="573"/>
    </row>
    <row r="181" spans="1:9" x14ac:dyDescent="0.2">
      <c r="A181" s="39" t="s">
        <v>479</v>
      </c>
      <c r="B181" s="88">
        <f>B177+B180</f>
        <v>101125</v>
      </c>
      <c r="C181" s="88">
        <f>C177+C180</f>
        <v>152087.8842</v>
      </c>
      <c r="D181" s="88">
        <f>D177+D180</f>
        <v>164719.17999999996</v>
      </c>
      <c r="E181" s="146" t="s">
        <v>108</v>
      </c>
      <c r="F181" s="13"/>
      <c r="G181" s="13"/>
      <c r="H181" s="13"/>
      <c r="I181" s="37"/>
    </row>
    <row r="182" spans="1:9" x14ac:dyDescent="0.2">
      <c r="A182" s="39" t="s">
        <v>39</v>
      </c>
      <c r="B182" s="88">
        <f>B179-E187</f>
        <v>0</v>
      </c>
      <c r="C182" s="88">
        <f>C179-E191</f>
        <v>4.1999999957624823E-3</v>
      </c>
      <c r="D182" s="88">
        <f>D179-E210</f>
        <v>55151.929999999964</v>
      </c>
      <c r="E182" s="146" t="s">
        <v>109</v>
      </c>
      <c r="F182" s="13"/>
      <c r="G182" s="13"/>
      <c r="H182" s="13"/>
      <c r="I182" s="37"/>
    </row>
    <row r="183" spans="1:9" x14ac:dyDescent="0.2">
      <c r="A183" s="39" t="s">
        <v>35</v>
      </c>
      <c r="B183" s="89">
        <f>B181-E187-G187</f>
        <v>0</v>
      </c>
      <c r="C183" s="90">
        <f>C181-E191-G191</f>
        <v>4.1999999957624823E-3</v>
      </c>
      <c r="D183" s="90">
        <f>D181-E210-G210</f>
        <v>13838.179999999964</v>
      </c>
      <c r="E183" s="146" t="s">
        <v>110</v>
      </c>
      <c r="F183" s="140"/>
      <c r="G183" s="140"/>
      <c r="H183" s="140"/>
      <c r="I183" s="37"/>
    </row>
    <row r="184" spans="1:9" ht="21" thickBot="1" x14ac:dyDescent="0.35">
      <c r="A184" s="39"/>
      <c r="B184" s="13"/>
      <c r="C184" s="13"/>
      <c r="D184" s="13"/>
      <c r="E184" s="14"/>
      <c r="F184" s="13"/>
      <c r="G184" s="13"/>
      <c r="H184" s="13"/>
      <c r="I184" s="37"/>
    </row>
    <row r="185" spans="1:9" ht="51" x14ac:dyDescent="0.2">
      <c r="A185" s="15" t="s">
        <v>41</v>
      </c>
      <c r="B185" s="16" t="s">
        <v>34</v>
      </c>
      <c r="C185" s="20" t="s">
        <v>64</v>
      </c>
      <c r="D185" s="20" t="s">
        <v>63</v>
      </c>
      <c r="E185" s="16" t="s">
        <v>37</v>
      </c>
      <c r="F185" s="16" t="s">
        <v>40</v>
      </c>
      <c r="G185" s="16" t="s">
        <v>46</v>
      </c>
      <c r="H185" s="16" t="s">
        <v>38</v>
      </c>
      <c r="I185" s="17" t="s">
        <v>5</v>
      </c>
    </row>
    <row r="186" spans="1:9" x14ac:dyDescent="0.2">
      <c r="A186" s="31" t="s">
        <v>10</v>
      </c>
      <c r="B186" s="23" t="s">
        <v>10</v>
      </c>
      <c r="C186" s="57">
        <v>101125</v>
      </c>
      <c r="D186" s="50">
        <v>43832</v>
      </c>
      <c r="E186" s="57">
        <f>C186</f>
        <v>101125</v>
      </c>
      <c r="F186" s="23" t="s">
        <v>708</v>
      </c>
      <c r="G186" s="23"/>
      <c r="H186" s="23" t="s">
        <v>487</v>
      </c>
      <c r="I186" s="24"/>
    </row>
    <row r="187" spans="1:9" x14ac:dyDescent="0.2">
      <c r="A187" s="25" t="s">
        <v>43</v>
      </c>
      <c r="B187" s="26"/>
      <c r="C187" s="61">
        <f>C186</f>
        <v>101125</v>
      </c>
      <c r="D187" s="26"/>
      <c r="E187" s="61">
        <f>E186</f>
        <v>101125</v>
      </c>
      <c r="F187" s="26"/>
      <c r="G187" s="58"/>
      <c r="H187" s="26"/>
      <c r="I187" s="27"/>
    </row>
    <row r="188" spans="1:9" x14ac:dyDescent="0.2">
      <c r="A188" s="33"/>
      <c r="B188" s="33"/>
      <c r="C188" s="59"/>
      <c r="D188" s="33"/>
      <c r="E188" s="59"/>
      <c r="F188" s="33"/>
      <c r="G188" s="59"/>
      <c r="H188" s="33"/>
      <c r="I188" s="33"/>
    </row>
    <row r="189" spans="1:9" x14ac:dyDescent="0.2">
      <c r="A189" s="32" t="s">
        <v>44</v>
      </c>
      <c r="B189" s="26" t="s">
        <v>567</v>
      </c>
      <c r="C189" s="58">
        <v>52613.94</v>
      </c>
      <c r="D189" s="50">
        <v>43921</v>
      </c>
      <c r="E189" s="58">
        <v>52613.94</v>
      </c>
      <c r="F189" s="26" t="s">
        <v>738</v>
      </c>
      <c r="G189" s="83">
        <f>C189-E189</f>
        <v>0</v>
      </c>
      <c r="H189" s="26" t="s">
        <v>604</v>
      </c>
      <c r="I189" s="43"/>
    </row>
    <row r="190" spans="1:9" x14ac:dyDescent="0.2">
      <c r="A190" s="32"/>
      <c r="B190" s="26"/>
      <c r="C190" s="261">
        <v>99473.94</v>
      </c>
      <c r="D190" s="262">
        <v>44105</v>
      </c>
      <c r="E190" s="261">
        <v>99473.94</v>
      </c>
      <c r="F190" s="26"/>
      <c r="G190" s="83"/>
      <c r="H190" s="26"/>
      <c r="I190" s="43"/>
    </row>
    <row r="191" spans="1:9" x14ac:dyDescent="0.2">
      <c r="A191" s="25" t="s">
        <v>43</v>
      </c>
      <c r="B191" s="26"/>
      <c r="C191" s="60">
        <f>C189+C190</f>
        <v>152087.88</v>
      </c>
      <c r="D191" s="26"/>
      <c r="E191" s="60">
        <f>E189+E190</f>
        <v>152087.88</v>
      </c>
      <c r="F191" s="26"/>
      <c r="G191" s="60">
        <f>G189</f>
        <v>0</v>
      </c>
      <c r="H191" s="26"/>
      <c r="I191" s="27"/>
    </row>
    <row r="192" spans="1:9" x14ac:dyDescent="0.2">
      <c r="A192" s="33"/>
      <c r="B192" s="33"/>
      <c r="C192" s="59"/>
      <c r="D192" s="33"/>
      <c r="E192" s="59"/>
      <c r="F192" s="33"/>
      <c r="G192" s="59"/>
      <c r="H192" s="33"/>
      <c r="I192" s="33"/>
    </row>
    <row r="193" spans="1:9" x14ac:dyDescent="0.2">
      <c r="A193" s="32" t="s">
        <v>42</v>
      </c>
      <c r="B193" s="135"/>
      <c r="C193" s="162"/>
      <c r="D193" s="136"/>
      <c r="E193" s="151"/>
      <c r="F193" s="53"/>
      <c r="G193" s="143">
        <f>C193-E193</f>
        <v>0</v>
      </c>
      <c r="H193" s="135"/>
      <c r="I193" s="27"/>
    </row>
    <row r="194" spans="1:9" x14ac:dyDescent="0.2">
      <c r="A194" s="147"/>
      <c r="B194" s="135" t="s">
        <v>532</v>
      </c>
      <c r="C194" s="162">
        <v>20000</v>
      </c>
      <c r="D194" s="136" t="s">
        <v>731</v>
      </c>
      <c r="E194" s="151">
        <v>20000</v>
      </c>
      <c r="F194" s="53" t="s">
        <v>773</v>
      </c>
      <c r="G194" s="143">
        <f>C194-E194</f>
        <v>0</v>
      </c>
      <c r="H194" s="223" t="s">
        <v>688</v>
      </c>
      <c r="I194" s="42" t="s">
        <v>724</v>
      </c>
    </row>
    <row r="195" spans="1:9" x14ac:dyDescent="0.2">
      <c r="A195" s="137"/>
      <c r="B195" s="145" t="s">
        <v>10</v>
      </c>
      <c r="C195" s="143">
        <v>12500</v>
      </c>
      <c r="D195" s="53" t="s">
        <v>727</v>
      </c>
      <c r="E195" s="82">
        <v>7962</v>
      </c>
      <c r="F195" s="52" t="s">
        <v>795</v>
      </c>
      <c r="G195" s="143">
        <f>C195-E195</f>
        <v>4538</v>
      </c>
      <c r="H195" s="145" t="s">
        <v>688</v>
      </c>
      <c r="I195" s="144" t="s">
        <v>93</v>
      </c>
    </row>
    <row r="196" spans="1:9" x14ac:dyDescent="0.2">
      <c r="A196" s="137"/>
      <c r="B196" s="145" t="s">
        <v>10</v>
      </c>
      <c r="C196" s="143">
        <v>7000</v>
      </c>
      <c r="D196" s="53" t="s">
        <v>726</v>
      </c>
      <c r="E196" s="82">
        <v>3481</v>
      </c>
      <c r="F196" s="52" t="s">
        <v>796</v>
      </c>
      <c r="G196" s="143">
        <f>C196-E196</f>
        <v>3519</v>
      </c>
      <c r="H196" s="145" t="s">
        <v>719</v>
      </c>
      <c r="I196" s="144" t="s">
        <v>100</v>
      </c>
    </row>
    <row r="197" spans="1:9" x14ac:dyDescent="0.2">
      <c r="A197" s="137"/>
      <c r="B197" s="145"/>
      <c r="C197" s="143"/>
      <c r="D197" s="53"/>
      <c r="E197" s="82"/>
      <c r="F197" s="52"/>
      <c r="G197" s="143">
        <v>-3519</v>
      </c>
      <c r="H197" s="145" t="s">
        <v>719</v>
      </c>
      <c r="I197" s="144"/>
    </row>
    <row r="198" spans="1:9" x14ac:dyDescent="0.2">
      <c r="A198" s="137"/>
      <c r="B198" s="145" t="s">
        <v>10</v>
      </c>
      <c r="C198" s="143">
        <v>54000</v>
      </c>
      <c r="D198" s="53" t="s">
        <v>730</v>
      </c>
      <c r="E198" s="82">
        <v>54000</v>
      </c>
      <c r="F198" s="52" t="s">
        <v>774</v>
      </c>
      <c r="G198" s="143"/>
      <c r="H198" s="145" t="s">
        <v>725</v>
      </c>
      <c r="I198" s="144"/>
    </row>
    <row r="199" spans="1:9" x14ac:dyDescent="0.2">
      <c r="A199" s="137"/>
      <c r="B199" s="145" t="s">
        <v>532</v>
      </c>
      <c r="C199" s="143">
        <v>40000</v>
      </c>
      <c r="D199" s="53" t="s">
        <v>732</v>
      </c>
      <c r="E199" s="82">
        <v>40000</v>
      </c>
      <c r="F199" s="52" t="s">
        <v>756</v>
      </c>
      <c r="G199" s="143"/>
      <c r="H199" s="145" t="s">
        <v>725</v>
      </c>
      <c r="I199" s="144"/>
    </row>
    <row r="200" spans="1:9" x14ac:dyDescent="0.2">
      <c r="A200" s="150" t="s">
        <v>113</v>
      </c>
      <c r="B200" s="145" t="s">
        <v>532</v>
      </c>
      <c r="C200" s="143">
        <v>13500</v>
      </c>
      <c r="D200" s="53" t="s">
        <v>733</v>
      </c>
      <c r="E200" s="82">
        <v>13500</v>
      </c>
      <c r="F200" s="52" t="s">
        <v>755</v>
      </c>
      <c r="G200" s="143"/>
      <c r="H200" s="145" t="s">
        <v>729</v>
      </c>
      <c r="I200" s="42"/>
    </row>
    <row r="201" spans="1:9" x14ac:dyDescent="0.2">
      <c r="A201" s="150"/>
      <c r="B201" s="145" t="s">
        <v>10</v>
      </c>
      <c r="C201" s="143">
        <v>7400</v>
      </c>
      <c r="D201" s="53" t="s">
        <v>734</v>
      </c>
      <c r="E201" s="82">
        <v>7400</v>
      </c>
      <c r="F201" s="52" t="s">
        <v>760</v>
      </c>
      <c r="G201" s="143"/>
      <c r="H201" s="145" t="s">
        <v>729</v>
      </c>
      <c r="I201" s="42"/>
    </row>
    <row r="202" spans="1:9" x14ac:dyDescent="0.2">
      <c r="A202" s="150"/>
      <c r="B202" s="145"/>
      <c r="C202" s="143"/>
      <c r="D202" s="53"/>
      <c r="E202" s="82"/>
      <c r="F202" s="52"/>
      <c r="G202" s="143"/>
      <c r="H202" s="145"/>
      <c r="I202" s="42"/>
    </row>
    <row r="203" spans="1:9" x14ac:dyDescent="0.2">
      <c r="A203" s="150"/>
      <c r="B203" s="145"/>
      <c r="C203" s="143"/>
      <c r="D203" s="53"/>
      <c r="E203" s="82"/>
      <c r="F203" s="52"/>
      <c r="G203" s="143"/>
      <c r="H203" s="145"/>
      <c r="I203" s="42"/>
    </row>
    <row r="204" spans="1:9" x14ac:dyDescent="0.2">
      <c r="A204" s="150"/>
      <c r="B204" s="145"/>
      <c r="C204" s="143"/>
      <c r="D204" s="53"/>
      <c r="E204" s="82"/>
      <c r="F204" s="52"/>
      <c r="G204" s="143"/>
      <c r="H204" s="145"/>
      <c r="I204" s="42"/>
    </row>
    <row r="205" spans="1:9" x14ac:dyDescent="0.2">
      <c r="A205" s="150"/>
      <c r="B205" s="145"/>
      <c r="C205" s="143"/>
      <c r="D205" s="53"/>
      <c r="E205" s="82"/>
      <c r="F205" s="52"/>
      <c r="G205" s="143"/>
      <c r="H205" s="145"/>
      <c r="I205" s="42"/>
    </row>
    <row r="206" spans="1:9" x14ac:dyDescent="0.2">
      <c r="A206" s="150"/>
      <c r="B206" s="145"/>
      <c r="C206" s="151"/>
      <c r="D206" s="53"/>
      <c r="E206" s="82"/>
      <c r="F206" s="52"/>
      <c r="G206" s="143"/>
      <c r="H206" s="145"/>
      <c r="I206" s="42"/>
    </row>
    <row r="207" spans="1:9" x14ac:dyDescent="0.2">
      <c r="A207" s="150"/>
      <c r="B207" s="145"/>
      <c r="C207" s="151"/>
      <c r="D207" s="53"/>
      <c r="E207" s="82"/>
      <c r="F207" s="52"/>
      <c r="G207" s="143"/>
      <c r="H207" s="145"/>
      <c r="I207" s="42"/>
    </row>
    <row r="208" spans="1:9" x14ac:dyDescent="0.2">
      <c r="A208" s="150"/>
      <c r="B208" s="145"/>
      <c r="C208" s="151"/>
      <c r="D208" s="53"/>
      <c r="E208" s="82"/>
      <c r="F208" s="52"/>
      <c r="G208" s="143"/>
      <c r="H208" s="145"/>
      <c r="I208" s="42"/>
    </row>
    <row r="209" spans="1:9" x14ac:dyDescent="0.2">
      <c r="A209" s="150"/>
      <c r="B209" s="145"/>
      <c r="C209" s="151"/>
      <c r="D209" s="53"/>
      <c r="E209" s="82"/>
      <c r="F209" s="52"/>
      <c r="G209" s="143"/>
      <c r="H209" s="145"/>
      <c r="I209" s="42"/>
    </row>
    <row r="210" spans="1:9" ht="13.5" thickBot="1" x14ac:dyDescent="0.25">
      <c r="A210" s="28" t="s">
        <v>43</v>
      </c>
      <c r="B210" s="29"/>
      <c r="C210" s="56">
        <f>SUM(C193:C209)</f>
        <v>154400</v>
      </c>
      <c r="D210" s="29"/>
      <c r="E210" s="56">
        <f>SUM(E193:E209)</f>
        <v>146343</v>
      </c>
      <c r="F210" s="54"/>
      <c r="G210" s="56">
        <f>SUM(G193:G209)</f>
        <v>4538</v>
      </c>
      <c r="H210" s="29"/>
      <c r="I210" s="30"/>
    </row>
    <row r="211" spans="1:9" ht="13.5" thickBot="1" x14ac:dyDescent="0.25"/>
    <row r="212" spans="1:9" ht="21" thickBot="1" x14ac:dyDescent="0.25">
      <c r="A212" s="550" t="s">
        <v>605</v>
      </c>
      <c r="B212" s="551"/>
      <c r="C212" s="551"/>
      <c r="D212" s="551"/>
      <c r="E212" s="551"/>
      <c r="F212" s="551"/>
      <c r="G212" s="551"/>
      <c r="H212" s="551"/>
      <c r="I212" s="552"/>
    </row>
    <row r="213" spans="1:9" ht="20.25" x14ac:dyDescent="0.3">
      <c r="A213" s="39"/>
      <c r="B213" s="13" t="s">
        <v>600</v>
      </c>
      <c r="C213" s="13" t="s">
        <v>601</v>
      </c>
      <c r="D213" s="87" t="s">
        <v>602</v>
      </c>
      <c r="E213" s="14"/>
      <c r="F213" s="13"/>
      <c r="G213" s="13"/>
      <c r="H213" s="13"/>
      <c r="I213" s="37"/>
    </row>
    <row r="214" spans="1:9" ht="20.25" x14ac:dyDescent="0.3">
      <c r="A214" s="39" t="s">
        <v>606</v>
      </c>
      <c r="B214" s="205">
        <v>101125</v>
      </c>
      <c r="C214" s="205">
        <f>C249*1.03</f>
        <v>74920.14</v>
      </c>
      <c r="D214" s="205">
        <v>143750</v>
      </c>
      <c r="E214" s="14"/>
      <c r="F214" s="13"/>
      <c r="G214" s="13"/>
      <c r="H214" s="13"/>
      <c r="I214" s="37"/>
    </row>
    <row r="215" spans="1:9" ht="20.25" x14ac:dyDescent="0.3">
      <c r="A215" s="39" t="s">
        <v>36</v>
      </c>
      <c r="B215" s="88">
        <f>IF(B254&gt;66125,66125,B254)</f>
        <v>0</v>
      </c>
      <c r="C215" s="88">
        <f>IF(C254&gt;72738,72738,C254)</f>
        <v>72738</v>
      </c>
      <c r="D215" s="88">
        <f>IF(D254&gt;143750,143750,D254)</f>
        <v>42783.249999999971</v>
      </c>
      <c r="E215" s="14"/>
      <c r="F215" s="13"/>
      <c r="G215" s="13"/>
      <c r="H215" s="13"/>
      <c r="I215" s="37"/>
    </row>
    <row r="216" spans="1:9" x14ac:dyDescent="0.2">
      <c r="A216" s="39" t="s">
        <v>603</v>
      </c>
      <c r="B216" s="88">
        <f>SUM(B214:B215)</f>
        <v>101125</v>
      </c>
      <c r="C216" s="88">
        <f>SUM(C214:C215)</f>
        <v>147658.14000000001</v>
      </c>
      <c r="D216" s="88">
        <f>SUM(D214:D215)</f>
        <v>186533.24999999997</v>
      </c>
      <c r="E216" s="125" t="s">
        <v>107</v>
      </c>
      <c r="F216" s="13"/>
      <c r="G216" s="13"/>
      <c r="H216" s="13"/>
      <c r="I216" s="37"/>
    </row>
    <row r="217" spans="1:9" x14ac:dyDescent="0.2">
      <c r="A217" s="39" t="s">
        <v>47</v>
      </c>
      <c r="B217" s="88">
        <f>B254</f>
        <v>0</v>
      </c>
      <c r="C217" s="88">
        <f>IF(C255&gt;72738,72738,C255)</f>
        <v>72738</v>
      </c>
      <c r="D217" s="88">
        <f>IF(D255&gt;143750, 143750,D255)</f>
        <v>6007.4999999999636</v>
      </c>
      <c r="E217" s="554"/>
      <c r="F217" s="554"/>
      <c r="G217" s="554"/>
      <c r="H217" s="554"/>
      <c r="I217" s="573"/>
    </row>
    <row r="218" spans="1:9" x14ac:dyDescent="0.2">
      <c r="A218" s="39" t="s">
        <v>479</v>
      </c>
      <c r="B218" s="88">
        <f>B214+B217</f>
        <v>101125</v>
      </c>
      <c r="C218" s="88">
        <f>C214+C217</f>
        <v>147658.14000000001</v>
      </c>
      <c r="D218" s="88">
        <f>D214+D217</f>
        <v>149757.49999999997</v>
      </c>
      <c r="E218" s="146" t="s">
        <v>108</v>
      </c>
      <c r="F218" s="13"/>
      <c r="G218" s="13"/>
      <c r="H218" s="13"/>
      <c r="I218" s="37"/>
    </row>
    <row r="219" spans="1:9" x14ac:dyDescent="0.2">
      <c r="A219" s="39" t="s">
        <v>39</v>
      </c>
      <c r="B219" s="88">
        <f>B216-E224</f>
        <v>0</v>
      </c>
      <c r="C219" s="88">
        <f>C216-E227</f>
        <v>140079.15000000002</v>
      </c>
      <c r="D219" s="88">
        <f>D216-E245</f>
        <v>57744.929999999964</v>
      </c>
      <c r="E219" s="146" t="s">
        <v>109</v>
      </c>
      <c r="F219" s="13"/>
      <c r="G219" s="13"/>
      <c r="H219" s="13"/>
      <c r="I219" s="37"/>
    </row>
    <row r="220" spans="1:9" x14ac:dyDescent="0.2">
      <c r="A220" s="39" t="s">
        <v>35</v>
      </c>
      <c r="B220" s="89">
        <f>B218-E224-G224</f>
        <v>0</v>
      </c>
      <c r="C220" s="90">
        <f>C218-E227-G227</f>
        <v>135957.32000000004</v>
      </c>
      <c r="D220" s="90">
        <f>D218-E245-G245</f>
        <v>20969.179999999964</v>
      </c>
      <c r="E220" s="146" t="s">
        <v>110</v>
      </c>
      <c r="F220" s="140"/>
      <c r="G220" s="140"/>
      <c r="H220" s="140"/>
      <c r="I220" s="37"/>
    </row>
    <row r="221" spans="1:9" ht="21" thickBot="1" x14ac:dyDescent="0.35">
      <c r="A221" s="39"/>
      <c r="B221" s="13"/>
      <c r="C221" s="13"/>
      <c r="D221" s="13"/>
      <c r="E221" s="14"/>
      <c r="F221" s="13"/>
      <c r="G221" s="13"/>
      <c r="H221" s="13"/>
      <c r="I221" s="37"/>
    </row>
    <row r="222" spans="1:9" ht="51" x14ac:dyDescent="0.2">
      <c r="A222" s="15" t="s">
        <v>41</v>
      </c>
      <c r="B222" s="16" t="s">
        <v>34</v>
      </c>
      <c r="C222" s="20" t="s">
        <v>64</v>
      </c>
      <c r="D222" s="20" t="s">
        <v>63</v>
      </c>
      <c r="E222" s="16" t="s">
        <v>37</v>
      </c>
      <c r="F222" s="16" t="s">
        <v>40</v>
      </c>
      <c r="G222" s="16" t="s">
        <v>46</v>
      </c>
      <c r="H222" s="16" t="s">
        <v>38</v>
      </c>
      <c r="I222" s="17" t="s">
        <v>5</v>
      </c>
    </row>
    <row r="223" spans="1:9" x14ac:dyDescent="0.2">
      <c r="A223" s="31" t="s">
        <v>10</v>
      </c>
      <c r="B223" s="23" t="s">
        <v>10</v>
      </c>
      <c r="C223" s="57">
        <v>101125</v>
      </c>
      <c r="D223" s="50">
        <v>43467</v>
      </c>
      <c r="E223" s="57">
        <f>C223</f>
        <v>101125</v>
      </c>
      <c r="F223" s="23" t="s">
        <v>623</v>
      </c>
      <c r="G223" s="23"/>
      <c r="H223" s="23" t="s">
        <v>487</v>
      </c>
      <c r="I223" s="24"/>
    </row>
    <row r="224" spans="1:9" x14ac:dyDescent="0.2">
      <c r="A224" s="25" t="s">
        <v>43</v>
      </c>
      <c r="B224" s="26"/>
      <c r="C224" s="61">
        <f>C223</f>
        <v>101125</v>
      </c>
      <c r="D224" s="26"/>
      <c r="E224" s="61">
        <f>E223</f>
        <v>101125</v>
      </c>
      <c r="F224" s="26"/>
      <c r="G224" s="58">
        <f>G223</f>
        <v>0</v>
      </c>
      <c r="H224" s="26"/>
      <c r="I224" s="27"/>
    </row>
    <row r="225" spans="1:10" x14ac:dyDescent="0.2">
      <c r="A225" s="33"/>
      <c r="B225" s="33"/>
      <c r="C225" s="59"/>
      <c r="D225" s="33"/>
      <c r="E225" s="59"/>
      <c r="F225" s="33"/>
      <c r="G225" s="59"/>
      <c r="H225" s="33"/>
      <c r="I225" s="33"/>
    </row>
    <row r="226" spans="1:10" x14ac:dyDescent="0.2">
      <c r="A226" s="32" t="s">
        <v>44</v>
      </c>
      <c r="B226" s="26" t="s">
        <v>567</v>
      </c>
      <c r="C226" s="58">
        <v>11700.82</v>
      </c>
      <c r="D226" s="50" t="s">
        <v>638</v>
      </c>
      <c r="E226" s="58">
        <v>7578.99</v>
      </c>
      <c r="F226" s="26" t="s">
        <v>674</v>
      </c>
      <c r="G226" s="83">
        <f>C226-E226</f>
        <v>4121.83</v>
      </c>
      <c r="H226" s="26" t="s">
        <v>604</v>
      </c>
      <c r="I226" s="43"/>
    </row>
    <row r="227" spans="1:10" x14ac:dyDescent="0.2">
      <c r="A227" s="25" t="s">
        <v>43</v>
      </c>
      <c r="B227" s="26"/>
      <c r="C227" s="60">
        <f>C226</f>
        <v>11700.82</v>
      </c>
      <c r="D227" s="26"/>
      <c r="E227" s="60">
        <f>E226</f>
        <v>7578.99</v>
      </c>
      <c r="F227" s="26"/>
      <c r="G227" s="60">
        <f>G226</f>
        <v>4121.83</v>
      </c>
      <c r="H227" s="26"/>
      <c r="I227" s="27"/>
    </row>
    <row r="228" spans="1:10" x14ac:dyDescent="0.2">
      <c r="A228" s="33"/>
      <c r="B228" s="33"/>
      <c r="C228" s="59"/>
      <c r="D228" s="33"/>
      <c r="E228" s="59"/>
      <c r="F228" s="33"/>
      <c r="G228" s="59"/>
      <c r="H228" s="33"/>
      <c r="I228" s="33"/>
    </row>
    <row r="229" spans="1:10" x14ac:dyDescent="0.2">
      <c r="A229" s="32" t="s">
        <v>42</v>
      </c>
      <c r="B229" s="135"/>
      <c r="C229" s="162"/>
      <c r="D229" s="136"/>
      <c r="E229" s="151"/>
      <c r="F229" s="53"/>
      <c r="G229" s="143">
        <f>C229-E229</f>
        <v>0</v>
      </c>
      <c r="H229" s="135"/>
      <c r="I229" s="27"/>
    </row>
    <row r="230" spans="1:10" x14ac:dyDescent="0.2">
      <c r="A230" s="137"/>
      <c r="B230" s="145" t="s">
        <v>567</v>
      </c>
      <c r="C230" s="143">
        <v>40000</v>
      </c>
      <c r="D230" s="53" t="s">
        <v>628</v>
      </c>
      <c r="E230" s="82">
        <v>35119.919999999998</v>
      </c>
      <c r="F230" s="52" t="s">
        <v>672</v>
      </c>
      <c r="G230" s="143">
        <f>C230-E230</f>
        <v>4880.0800000000017</v>
      </c>
      <c r="H230" s="145" t="s">
        <v>627</v>
      </c>
      <c r="I230" s="144" t="s">
        <v>671</v>
      </c>
    </row>
    <row r="231" spans="1:10" x14ac:dyDescent="0.2">
      <c r="A231" s="137"/>
      <c r="B231" s="145"/>
      <c r="C231" s="143"/>
      <c r="D231" s="53"/>
      <c r="E231" s="82"/>
      <c r="F231" s="52"/>
      <c r="G231" s="143">
        <v>-4880.08</v>
      </c>
      <c r="H231" s="145"/>
      <c r="I231" s="144"/>
      <c r="J231" s="40"/>
    </row>
    <row r="232" spans="1:10" x14ac:dyDescent="0.2">
      <c r="A232" s="137"/>
      <c r="B232" s="145" t="s">
        <v>567</v>
      </c>
      <c r="C232" s="143">
        <v>4880.08</v>
      </c>
      <c r="D232" s="53" t="s">
        <v>673</v>
      </c>
      <c r="E232" s="82"/>
      <c r="F232" s="52"/>
      <c r="G232" s="143"/>
      <c r="H232" s="145" t="s">
        <v>550</v>
      </c>
      <c r="I232" s="144"/>
      <c r="J232" s="40"/>
    </row>
    <row r="233" spans="1:10" x14ac:dyDescent="0.2">
      <c r="A233" s="137"/>
      <c r="B233" s="145"/>
      <c r="C233" s="143">
        <v>17696.939999999999</v>
      </c>
      <c r="D233" s="53" t="s">
        <v>684</v>
      </c>
      <c r="E233" s="82">
        <v>13850.48</v>
      </c>
      <c r="F233" s="52" t="s">
        <v>694</v>
      </c>
      <c r="G233" s="143"/>
      <c r="H233" s="145" t="s">
        <v>550</v>
      </c>
      <c r="I233" s="144" t="s">
        <v>691</v>
      </c>
      <c r="J233" s="40"/>
    </row>
    <row r="234" spans="1:10" x14ac:dyDescent="0.2">
      <c r="A234" s="137"/>
      <c r="B234" s="145"/>
      <c r="C234" s="143"/>
      <c r="D234" s="53"/>
      <c r="E234" s="82">
        <v>8726.5400000000009</v>
      </c>
      <c r="F234" s="53" t="s">
        <v>737</v>
      </c>
      <c r="G234" s="143"/>
      <c r="H234" s="145" t="s">
        <v>550</v>
      </c>
      <c r="I234" s="144" t="s">
        <v>100</v>
      </c>
      <c r="J234" s="40"/>
    </row>
    <row r="235" spans="1:10" x14ac:dyDescent="0.2">
      <c r="A235" s="150" t="s">
        <v>113</v>
      </c>
      <c r="B235" s="145" t="s">
        <v>10</v>
      </c>
      <c r="C235" s="143">
        <v>40000</v>
      </c>
      <c r="D235" s="53" t="s">
        <v>629</v>
      </c>
      <c r="E235" s="82">
        <v>28553</v>
      </c>
      <c r="F235" s="52" t="s">
        <v>669</v>
      </c>
      <c r="G235" s="143">
        <f>C235-E235</f>
        <v>11447</v>
      </c>
      <c r="H235" s="145" t="s">
        <v>627</v>
      </c>
      <c r="I235" s="42" t="s">
        <v>100</v>
      </c>
      <c r="J235" s="40"/>
    </row>
    <row r="236" spans="1:10" x14ac:dyDescent="0.2">
      <c r="A236" s="150"/>
      <c r="B236" s="145"/>
      <c r="C236" s="143"/>
      <c r="D236" s="53"/>
      <c r="E236" s="82"/>
      <c r="F236" s="52"/>
      <c r="G236" s="143">
        <v>-11447</v>
      </c>
      <c r="H236" s="145" t="s">
        <v>627</v>
      </c>
      <c r="I236" s="42" t="s">
        <v>99</v>
      </c>
    </row>
    <row r="237" spans="1:10" x14ac:dyDescent="0.2">
      <c r="A237" s="150"/>
      <c r="B237" s="145" t="s">
        <v>567</v>
      </c>
      <c r="C237" s="143">
        <v>40000</v>
      </c>
      <c r="D237" s="53" t="s">
        <v>636</v>
      </c>
      <c r="E237" s="82">
        <v>22303.06</v>
      </c>
      <c r="F237" s="52" t="s">
        <v>685</v>
      </c>
      <c r="G237" s="143">
        <f>C237-E237</f>
        <v>17696.939999999999</v>
      </c>
      <c r="H237" s="145" t="s">
        <v>632</v>
      </c>
      <c r="I237" s="42"/>
    </row>
    <row r="238" spans="1:10" x14ac:dyDescent="0.2">
      <c r="A238" s="150"/>
      <c r="B238" s="145"/>
      <c r="C238" s="143"/>
      <c r="D238" s="53"/>
      <c r="E238" s="82"/>
      <c r="F238" s="52"/>
      <c r="G238" s="143">
        <v>-17696.939999999999</v>
      </c>
      <c r="H238" s="145" t="s">
        <v>632</v>
      </c>
      <c r="I238" s="42" t="s">
        <v>683</v>
      </c>
    </row>
    <row r="239" spans="1:10" x14ac:dyDescent="0.2">
      <c r="A239" s="150"/>
      <c r="B239" s="145" t="s">
        <v>10</v>
      </c>
      <c r="C239" s="143">
        <v>24000</v>
      </c>
      <c r="D239" s="53" t="s">
        <v>643</v>
      </c>
      <c r="E239" s="82">
        <v>10963.32</v>
      </c>
      <c r="F239" s="52" t="s">
        <v>666</v>
      </c>
      <c r="G239" s="143">
        <f>C239-E239</f>
        <v>13036.68</v>
      </c>
      <c r="H239" s="145" t="s">
        <v>632</v>
      </c>
      <c r="I239" s="42" t="s">
        <v>100</v>
      </c>
    </row>
    <row r="240" spans="1:10" x14ac:dyDescent="0.2">
      <c r="A240" s="150"/>
      <c r="B240" s="145"/>
      <c r="C240" s="143"/>
      <c r="D240" s="53"/>
      <c r="E240" s="82"/>
      <c r="F240" s="52"/>
      <c r="G240" s="143">
        <v>-13036.68</v>
      </c>
      <c r="H240" s="145" t="s">
        <v>632</v>
      </c>
      <c r="I240" s="42" t="s">
        <v>99</v>
      </c>
    </row>
    <row r="241" spans="1:9" x14ac:dyDescent="0.2">
      <c r="A241" s="150"/>
      <c r="B241" s="145" t="s">
        <v>10</v>
      </c>
      <c r="C241" s="151">
        <v>24000</v>
      </c>
      <c r="D241" s="53" t="s">
        <v>652</v>
      </c>
      <c r="E241" s="82">
        <v>9272</v>
      </c>
      <c r="F241" s="221" t="s">
        <v>777</v>
      </c>
      <c r="G241" s="143">
        <f>19567-E241</f>
        <v>10295</v>
      </c>
      <c r="H241" s="145" t="s">
        <v>575</v>
      </c>
      <c r="I241" s="42" t="s">
        <v>100</v>
      </c>
    </row>
    <row r="242" spans="1:9" x14ac:dyDescent="0.2">
      <c r="A242" s="150"/>
      <c r="B242" s="145"/>
      <c r="C242" s="151"/>
      <c r="D242" s="53"/>
      <c r="E242" s="82"/>
      <c r="F242" s="52"/>
      <c r="G242" s="143">
        <v>-10295</v>
      </c>
      <c r="H242" s="145" t="s">
        <v>575</v>
      </c>
      <c r="I242" s="42" t="s">
        <v>99</v>
      </c>
    </row>
    <row r="243" spans="1:9" x14ac:dyDescent="0.2">
      <c r="A243" s="150"/>
      <c r="B243" s="145"/>
      <c r="C243" s="151"/>
      <c r="D243" s="53"/>
      <c r="E243" s="82"/>
      <c r="F243" s="52"/>
      <c r="G243" s="143"/>
      <c r="H243" s="145"/>
      <c r="I243" s="42"/>
    </row>
    <row r="244" spans="1:9" x14ac:dyDescent="0.2">
      <c r="A244" s="150"/>
      <c r="B244" s="145"/>
      <c r="C244" s="151"/>
      <c r="D244" s="53"/>
      <c r="E244" s="82"/>
      <c r="F244" s="52"/>
      <c r="G244" s="143"/>
      <c r="H244" s="145"/>
      <c r="I244" s="42"/>
    </row>
    <row r="245" spans="1:9" ht="13.5" thickBot="1" x14ac:dyDescent="0.25">
      <c r="A245" s="28" t="s">
        <v>43</v>
      </c>
      <c r="B245" s="29"/>
      <c r="C245" s="56">
        <f>SUM(C229:C244)</f>
        <v>190577.02000000002</v>
      </c>
      <c r="D245" s="29"/>
      <c r="E245" s="56">
        <f>SUM(E229:E244)</f>
        <v>128788.32</v>
      </c>
      <c r="F245" s="54"/>
      <c r="G245" s="56">
        <f>SUM(G229:G244)</f>
        <v>0</v>
      </c>
      <c r="H245" s="29"/>
      <c r="I245" s="30"/>
    </row>
    <row r="246" spans="1:9" ht="13.5" thickBot="1" x14ac:dyDescent="0.25"/>
    <row r="247" spans="1:9" ht="21" thickBot="1" x14ac:dyDescent="0.25">
      <c r="A247" s="550" t="s">
        <v>476</v>
      </c>
      <c r="B247" s="551"/>
      <c r="C247" s="551"/>
      <c r="D247" s="551"/>
      <c r="E247" s="551"/>
      <c r="F247" s="551"/>
      <c r="G247" s="551"/>
      <c r="H247" s="551"/>
      <c r="I247" s="552"/>
    </row>
    <row r="248" spans="1:9" ht="20.25" x14ac:dyDescent="0.3">
      <c r="A248" s="39"/>
      <c r="B248" s="13" t="s">
        <v>472</v>
      </c>
      <c r="C248" s="13" t="s">
        <v>473</v>
      </c>
      <c r="D248" s="87" t="s">
        <v>474</v>
      </c>
      <c r="E248" s="14"/>
      <c r="F248" s="13"/>
      <c r="G248" s="13"/>
      <c r="H248" s="13"/>
      <c r="I248" s="37"/>
    </row>
    <row r="249" spans="1:9" ht="20.25" x14ac:dyDescent="0.3">
      <c r="A249" s="39" t="s">
        <v>477</v>
      </c>
      <c r="B249" s="205">
        <v>101125</v>
      </c>
      <c r="C249" s="205">
        <v>72738</v>
      </c>
      <c r="D249" s="205">
        <v>143750</v>
      </c>
      <c r="E249" s="14"/>
      <c r="F249" s="13"/>
      <c r="G249" s="13"/>
      <c r="H249" s="13"/>
      <c r="I249" s="37"/>
    </row>
    <row r="250" spans="1:9" ht="20.25" x14ac:dyDescent="0.3">
      <c r="A250" s="39" t="s">
        <v>36</v>
      </c>
      <c r="B250" s="88">
        <f>IF(B284&gt;66125,66125,B284)</f>
        <v>0</v>
      </c>
      <c r="C250" s="88">
        <f>IF(C284&gt;66125,66125,C284)</f>
        <v>66125</v>
      </c>
      <c r="D250" s="88">
        <f>IF(D286&gt;143750,143750,D286)</f>
        <v>42747.709999999992</v>
      </c>
      <c r="E250" s="14"/>
      <c r="F250" s="13"/>
      <c r="G250" s="13"/>
      <c r="H250" s="13"/>
      <c r="I250" s="37"/>
    </row>
    <row r="251" spans="1:9" x14ac:dyDescent="0.2">
      <c r="A251" s="39" t="s">
        <v>475</v>
      </c>
      <c r="B251" s="88">
        <f>SUM(B249:B250)</f>
        <v>101125</v>
      </c>
      <c r="C251" s="88">
        <f>SUM(C249:C250)</f>
        <v>138863</v>
      </c>
      <c r="D251" s="88">
        <f>SUM(D249:D250)</f>
        <v>186497.71</v>
      </c>
      <c r="E251" s="125" t="s">
        <v>107</v>
      </c>
      <c r="F251" s="13"/>
      <c r="G251" s="13"/>
      <c r="H251" s="13"/>
      <c r="I251" s="37"/>
    </row>
    <row r="252" spans="1:9" x14ac:dyDescent="0.2">
      <c r="A252" s="39" t="s">
        <v>47</v>
      </c>
      <c r="B252" s="88">
        <f>B287</f>
        <v>0</v>
      </c>
      <c r="C252" s="88">
        <f>IF(C285&gt;66125,66125,C285)</f>
        <v>66125</v>
      </c>
      <c r="D252" s="88">
        <f>IF(D287&gt;143750, 143750,D287)</f>
        <v>16572.359999999986</v>
      </c>
      <c r="E252" s="554"/>
      <c r="F252" s="554"/>
      <c r="G252" s="554"/>
      <c r="H252" s="554"/>
      <c r="I252" s="573"/>
    </row>
    <row r="253" spans="1:9" x14ac:dyDescent="0.2">
      <c r="A253" s="39" t="s">
        <v>479</v>
      </c>
      <c r="B253" s="88">
        <f>B249+B252</f>
        <v>101125</v>
      </c>
      <c r="C253" s="88">
        <f>C249+C252</f>
        <v>138863</v>
      </c>
      <c r="D253" s="88">
        <f>D249+D252</f>
        <v>160322.35999999999</v>
      </c>
      <c r="E253" s="146" t="s">
        <v>108</v>
      </c>
      <c r="F253" s="13"/>
      <c r="G253" s="13"/>
      <c r="H253" s="13"/>
      <c r="I253" s="37"/>
    </row>
    <row r="254" spans="1:9" x14ac:dyDescent="0.2">
      <c r="A254" s="39" t="s">
        <v>39</v>
      </c>
      <c r="B254" s="88">
        <f>B251-E259</f>
        <v>0</v>
      </c>
      <c r="C254" s="88">
        <f>C251-E262</f>
        <v>103717.79000000001</v>
      </c>
      <c r="D254" s="88">
        <f>D251-E276</f>
        <v>42783.249999999971</v>
      </c>
      <c r="E254" s="146" t="s">
        <v>109</v>
      </c>
      <c r="F254" s="13"/>
      <c r="G254" s="13"/>
      <c r="H254" s="13"/>
      <c r="I254" s="37"/>
    </row>
    <row r="255" spans="1:9" x14ac:dyDescent="0.2">
      <c r="A255" s="39" t="s">
        <v>35</v>
      </c>
      <c r="B255" s="89">
        <f>B253-E259-G259</f>
        <v>0</v>
      </c>
      <c r="C255" s="90">
        <f>C253-E262-G262</f>
        <v>103717.79000000001</v>
      </c>
      <c r="D255" s="90">
        <f>D253-E276-G276</f>
        <v>6007.4999999999636</v>
      </c>
      <c r="E255" s="146" t="s">
        <v>110</v>
      </c>
      <c r="F255" s="140"/>
      <c r="G255" s="140"/>
      <c r="H255" s="140"/>
      <c r="I255" s="37"/>
    </row>
    <row r="256" spans="1:9" ht="21" thickBot="1" x14ac:dyDescent="0.35">
      <c r="A256" s="39"/>
      <c r="B256" s="13"/>
      <c r="C256" s="13"/>
      <c r="D256" s="13"/>
      <c r="E256" s="14"/>
      <c r="F256" s="13"/>
      <c r="G256" s="13"/>
      <c r="H256" s="13"/>
      <c r="I256" s="37"/>
    </row>
    <row r="257" spans="1:9" ht="51" x14ac:dyDescent="0.2">
      <c r="A257" s="15" t="s">
        <v>41</v>
      </c>
      <c r="B257" s="16" t="s">
        <v>34</v>
      </c>
      <c r="C257" s="20" t="s">
        <v>64</v>
      </c>
      <c r="D257" s="20" t="s">
        <v>63</v>
      </c>
      <c r="E257" s="16" t="s">
        <v>37</v>
      </c>
      <c r="F257" s="16" t="s">
        <v>40</v>
      </c>
      <c r="G257" s="16" t="s">
        <v>46</v>
      </c>
      <c r="H257" s="16" t="s">
        <v>38</v>
      </c>
      <c r="I257" s="17" t="s">
        <v>5</v>
      </c>
    </row>
    <row r="258" spans="1:9" x14ac:dyDescent="0.2">
      <c r="A258" s="31" t="s">
        <v>10</v>
      </c>
      <c r="B258" s="23" t="s">
        <v>10</v>
      </c>
      <c r="C258" s="57">
        <v>101125</v>
      </c>
      <c r="D258" s="50"/>
      <c r="E258" s="57">
        <v>101125</v>
      </c>
      <c r="F258" s="23" t="s">
        <v>490</v>
      </c>
      <c r="G258" s="23"/>
      <c r="H258" s="23" t="s">
        <v>491</v>
      </c>
      <c r="I258" s="24"/>
    </row>
    <row r="259" spans="1:9" x14ac:dyDescent="0.2">
      <c r="A259" s="25" t="s">
        <v>43</v>
      </c>
      <c r="B259" s="26"/>
      <c r="C259" s="61">
        <f>C258</f>
        <v>101125</v>
      </c>
      <c r="D259" s="26"/>
      <c r="E259" s="61">
        <f>E258</f>
        <v>101125</v>
      </c>
      <c r="F259" s="26"/>
      <c r="G259" s="58">
        <f>G258</f>
        <v>0</v>
      </c>
      <c r="H259" s="26"/>
      <c r="I259" s="27"/>
    </row>
    <row r="260" spans="1:9" x14ac:dyDescent="0.2">
      <c r="A260" s="33"/>
      <c r="B260" s="33"/>
      <c r="C260" s="59"/>
      <c r="D260" s="33"/>
      <c r="E260" s="59"/>
      <c r="F260" s="33"/>
      <c r="G260" s="59"/>
      <c r="H260" s="33"/>
      <c r="I260" s="33"/>
    </row>
    <row r="261" spans="1:9" x14ac:dyDescent="0.2">
      <c r="A261" s="32" t="s">
        <v>44</v>
      </c>
      <c r="B261" s="26" t="s">
        <v>567</v>
      </c>
      <c r="C261" s="58">
        <v>35145.21</v>
      </c>
      <c r="D261" s="50">
        <v>43374</v>
      </c>
      <c r="E261" s="58">
        <v>35145.21</v>
      </c>
      <c r="F261" s="26" t="s">
        <v>582</v>
      </c>
      <c r="G261" s="83"/>
      <c r="H261" s="26" t="s">
        <v>487</v>
      </c>
      <c r="I261" s="43"/>
    </row>
    <row r="262" spans="1:9" x14ac:dyDescent="0.2">
      <c r="A262" s="25" t="s">
        <v>43</v>
      </c>
      <c r="B262" s="26"/>
      <c r="C262" s="60">
        <f>C261</f>
        <v>35145.21</v>
      </c>
      <c r="D262" s="26"/>
      <c r="E262" s="60">
        <f>E261</f>
        <v>35145.21</v>
      </c>
      <c r="F262" s="26"/>
      <c r="G262" s="60">
        <f>G261</f>
        <v>0</v>
      </c>
      <c r="H262" s="26"/>
      <c r="I262" s="27"/>
    </row>
    <row r="263" spans="1:9" x14ac:dyDescent="0.2">
      <c r="A263" s="33"/>
      <c r="B263" s="33"/>
      <c r="C263" s="59"/>
      <c r="D263" s="33"/>
      <c r="E263" s="59"/>
      <c r="F263" s="33"/>
      <c r="G263" s="59"/>
      <c r="H263" s="33"/>
      <c r="I263" s="33"/>
    </row>
    <row r="264" spans="1:9" x14ac:dyDescent="0.2">
      <c r="A264" s="32" t="s">
        <v>42</v>
      </c>
      <c r="B264" s="135"/>
      <c r="C264" s="162"/>
      <c r="D264" s="136"/>
      <c r="E264" s="151"/>
      <c r="F264" s="53"/>
      <c r="G264" s="143">
        <f>C264-E264</f>
        <v>0</v>
      </c>
      <c r="H264" s="135"/>
      <c r="I264" s="27" t="s">
        <v>584</v>
      </c>
    </row>
    <row r="265" spans="1:9" ht="25.5" x14ac:dyDescent="0.2">
      <c r="A265" s="137"/>
      <c r="B265" s="145" t="s">
        <v>567</v>
      </c>
      <c r="C265" s="143">
        <f>30000-15400</f>
        <v>14600</v>
      </c>
      <c r="D265" s="53" t="s">
        <v>505</v>
      </c>
      <c r="E265" s="82">
        <v>3999.6</v>
      </c>
      <c r="F265" s="52" t="s">
        <v>586</v>
      </c>
      <c r="G265" s="143">
        <f>14600-E265-C275</f>
        <v>10600.4</v>
      </c>
      <c r="H265" s="145" t="s">
        <v>401</v>
      </c>
      <c r="I265" s="144" t="s">
        <v>576</v>
      </c>
    </row>
    <row r="266" spans="1:9" x14ac:dyDescent="0.2">
      <c r="A266" s="150" t="s">
        <v>113</v>
      </c>
      <c r="B266" s="145" t="s">
        <v>10</v>
      </c>
      <c r="C266" s="143">
        <v>2000</v>
      </c>
      <c r="D266" s="53" t="s">
        <v>523</v>
      </c>
      <c r="E266" s="82">
        <v>2000</v>
      </c>
      <c r="F266" s="52" t="s">
        <v>553</v>
      </c>
      <c r="G266" s="143">
        <v>0</v>
      </c>
      <c r="H266" s="145" t="s">
        <v>518</v>
      </c>
      <c r="I266" s="79"/>
    </row>
    <row r="267" spans="1:9" x14ac:dyDescent="0.2">
      <c r="A267" s="150"/>
      <c r="B267" s="145" t="s">
        <v>10</v>
      </c>
      <c r="C267" s="143">
        <v>50000</v>
      </c>
      <c r="D267" s="53" t="s">
        <v>539</v>
      </c>
      <c r="E267" s="82">
        <v>8505</v>
      </c>
      <c r="F267" s="52" t="s">
        <v>571</v>
      </c>
      <c r="G267" s="143">
        <f>C267-E267</f>
        <v>41495</v>
      </c>
      <c r="H267" s="145" t="s">
        <v>535</v>
      </c>
      <c r="I267" s="42" t="s">
        <v>569</v>
      </c>
    </row>
    <row r="268" spans="1:9" x14ac:dyDescent="0.2">
      <c r="A268" s="150"/>
      <c r="B268" s="145"/>
      <c r="C268" s="143"/>
      <c r="D268" s="53"/>
      <c r="E268" s="82"/>
      <c r="F268" s="52"/>
      <c r="G268" s="143">
        <v>-41495</v>
      </c>
      <c r="H268" s="145"/>
      <c r="I268" s="42"/>
    </row>
    <row r="269" spans="1:9" x14ac:dyDescent="0.2">
      <c r="A269" s="150"/>
      <c r="B269" s="145" t="s">
        <v>532</v>
      </c>
      <c r="C269" s="151">
        <v>40000</v>
      </c>
      <c r="D269" s="53" t="s">
        <v>540</v>
      </c>
      <c r="E269" s="82">
        <v>40000</v>
      </c>
      <c r="F269" s="52" t="s">
        <v>573</v>
      </c>
      <c r="G269" s="143">
        <f>C269-E269</f>
        <v>0</v>
      </c>
      <c r="H269" s="145" t="s">
        <v>535</v>
      </c>
      <c r="I269" s="42" t="s">
        <v>100</v>
      </c>
    </row>
    <row r="270" spans="1:9" x14ac:dyDescent="0.2">
      <c r="A270" s="150"/>
      <c r="B270" s="145" t="s">
        <v>10</v>
      </c>
      <c r="C270" s="151">
        <v>60000</v>
      </c>
      <c r="D270" s="53" t="s">
        <v>595</v>
      </c>
      <c r="E270" s="82">
        <v>17747</v>
      </c>
      <c r="F270" s="52" t="s">
        <v>615</v>
      </c>
      <c r="G270" s="143"/>
      <c r="H270" s="571" t="s">
        <v>550</v>
      </c>
      <c r="I270" s="42" t="s">
        <v>579</v>
      </c>
    </row>
    <row r="271" spans="1:9" x14ac:dyDescent="0.2">
      <c r="A271" s="150"/>
      <c r="B271" s="145"/>
      <c r="C271" s="151"/>
      <c r="D271" s="53"/>
      <c r="E271" s="82">
        <v>24568</v>
      </c>
      <c r="F271" s="242" t="s">
        <v>710</v>
      </c>
      <c r="G271" s="143">
        <f>42253-24568</f>
        <v>17685</v>
      </c>
      <c r="H271" s="572"/>
      <c r="I271" s="42" t="s">
        <v>188</v>
      </c>
    </row>
    <row r="272" spans="1:9" x14ac:dyDescent="0.2">
      <c r="A272" s="150"/>
      <c r="B272" s="145"/>
      <c r="C272" s="151"/>
      <c r="D272" s="53"/>
      <c r="E272" s="82">
        <v>17685</v>
      </c>
      <c r="F272" s="242" t="s">
        <v>775</v>
      </c>
      <c r="G272" s="143">
        <v>-17685</v>
      </c>
      <c r="H272" s="263" t="s">
        <v>550</v>
      </c>
      <c r="I272" s="42" t="s">
        <v>766</v>
      </c>
    </row>
    <row r="273" spans="1:9" x14ac:dyDescent="0.2">
      <c r="A273" s="150"/>
      <c r="B273" s="145" t="s">
        <v>532</v>
      </c>
      <c r="C273" s="151">
        <v>15400</v>
      </c>
      <c r="D273" s="53" t="s">
        <v>572</v>
      </c>
      <c r="E273" s="82">
        <v>15400</v>
      </c>
      <c r="F273" s="52" t="s">
        <v>583</v>
      </c>
      <c r="G273" s="143">
        <f>C273-E273</f>
        <v>0</v>
      </c>
      <c r="H273" s="145" t="s">
        <v>570</v>
      </c>
      <c r="I273" s="42" t="s">
        <v>577</v>
      </c>
    </row>
    <row r="274" spans="1:9" x14ac:dyDescent="0.2">
      <c r="A274" s="150"/>
      <c r="B274" s="145" t="s">
        <v>532</v>
      </c>
      <c r="C274" s="151">
        <v>17740</v>
      </c>
      <c r="D274" s="53" t="s">
        <v>587</v>
      </c>
      <c r="E274" s="82">
        <v>13809.86</v>
      </c>
      <c r="F274" s="229" t="s">
        <v>689</v>
      </c>
      <c r="G274" s="143">
        <f>C274-E274</f>
        <v>3930.1399999999994</v>
      </c>
      <c r="H274" s="145" t="s">
        <v>575</v>
      </c>
      <c r="I274" s="42" t="s">
        <v>585</v>
      </c>
    </row>
    <row r="275" spans="1:9" x14ac:dyDescent="0.2">
      <c r="A275" s="150"/>
      <c r="B275" s="145"/>
      <c r="C275" s="151"/>
      <c r="D275" s="53"/>
      <c r="E275" s="82"/>
      <c r="F275" s="52"/>
      <c r="G275" s="143">
        <v>-3930.14</v>
      </c>
      <c r="H275" s="145" t="s">
        <v>575</v>
      </c>
      <c r="I275" s="238" t="s">
        <v>723</v>
      </c>
    </row>
    <row r="276" spans="1:9" ht="13.5" thickBot="1" x14ac:dyDescent="0.25">
      <c r="A276" s="28" t="s">
        <v>43</v>
      </c>
      <c r="B276" s="29"/>
      <c r="C276" s="56">
        <f>SUM(C264:C275)</f>
        <v>199740</v>
      </c>
      <c r="D276" s="29"/>
      <c r="E276" s="56">
        <f>SUM(E264:E275)</f>
        <v>143714.46000000002</v>
      </c>
      <c r="F276" s="54"/>
      <c r="G276" s="56">
        <f>SUM(G264:G275)</f>
        <v>10600.400000000001</v>
      </c>
      <c r="H276" s="29"/>
      <c r="I276" s="30"/>
    </row>
    <row r="278" spans="1:9" ht="13.5" thickBot="1" x14ac:dyDescent="0.25"/>
    <row r="279" spans="1:9" ht="21" thickBot="1" x14ac:dyDescent="0.25">
      <c r="A279" s="550" t="s">
        <v>327</v>
      </c>
      <c r="B279" s="551"/>
      <c r="C279" s="551"/>
      <c r="D279" s="551"/>
      <c r="E279" s="551"/>
      <c r="F279" s="551"/>
      <c r="G279" s="551"/>
      <c r="H279" s="551"/>
      <c r="I279" s="552"/>
    </row>
    <row r="280" spans="1:9" ht="20.25" x14ac:dyDescent="0.3">
      <c r="A280" s="39"/>
      <c r="B280" s="13" t="s">
        <v>322</v>
      </c>
      <c r="C280" s="13" t="s">
        <v>323</v>
      </c>
      <c r="D280" s="87" t="s">
        <v>324</v>
      </c>
      <c r="E280" s="14"/>
      <c r="F280" s="13"/>
      <c r="G280" s="13"/>
      <c r="H280" s="13"/>
      <c r="I280" s="37"/>
    </row>
    <row r="281" spans="1:9" ht="20.25" x14ac:dyDescent="0.3">
      <c r="A281" s="39" t="s">
        <v>328</v>
      </c>
      <c r="B281" s="88">
        <v>66125</v>
      </c>
      <c r="C281" s="88">
        <v>66125</v>
      </c>
      <c r="D281" s="88">
        <v>143750</v>
      </c>
      <c r="E281" s="14"/>
      <c r="F281" s="13"/>
      <c r="G281" s="13"/>
      <c r="H281" s="13"/>
      <c r="I281" s="37"/>
    </row>
    <row r="282" spans="1:9" ht="20.25" x14ac:dyDescent="0.3">
      <c r="A282" s="39" t="s">
        <v>36</v>
      </c>
      <c r="B282" s="88">
        <f>IF(B327&gt;66125,66125,B327)</f>
        <v>0</v>
      </c>
      <c r="C282" s="88">
        <f>IF(C327&gt;66125,66125,C327)</f>
        <v>66125</v>
      </c>
      <c r="D282" s="88">
        <f>IF(D327&gt;143750,143750,D327)</f>
        <v>32906.649999999994</v>
      </c>
      <c r="E282" s="14"/>
      <c r="F282" s="13"/>
      <c r="G282" s="13"/>
      <c r="H282" s="13"/>
      <c r="I282" s="37"/>
    </row>
    <row r="283" spans="1:9" x14ac:dyDescent="0.2">
      <c r="A283" s="39" t="s">
        <v>325</v>
      </c>
      <c r="B283" s="88">
        <f>SUM(B281:B282)</f>
        <v>66125</v>
      </c>
      <c r="C283" s="88">
        <f>SUM(C281:C282)</f>
        <v>132250</v>
      </c>
      <c r="D283" s="88">
        <f>SUM(D281:D282)</f>
        <v>176656.65</v>
      </c>
      <c r="E283" s="125" t="s">
        <v>107</v>
      </c>
      <c r="F283" s="13"/>
      <c r="G283" s="13"/>
      <c r="H283" s="13"/>
      <c r="I283" s="37"/>
    </row>
    <row r="284" spans="1:9" x14ac:dyDescent="0.2">
      <c r="A284" s="39" t="s">
        <v>47</v>
      </c>
      <c r="B284" s="88">
        <f>B328</f>
        <v>0</v>
      </c>
      <c r="C284" s="88">
        <f>IF(C328&gt;66125,66125,C328)</f>
        <v>66125</v>
      </c>
      <c r="D284" s="88">
        <f>D328</f>
        <v>15940.359999999986</v>
      </c>
      <c r="E284" s="554"/>
      <c r="F284" s="554"/>
      <c r="G284" s="554"/>
      <c r="H284" s="554"/>
      <c r="I284" s="573"/>
    </row>
    <row r="285" spans="1:9" x14ac:dyDescent="0.2">
      <c r="A285" s="39" t="s">
        <v>45</v>
      </c>
      <c r="B285" s="88">
        <f>B281+B284</f>
        <v>66125</v>
      </c>
      <c r="C285" s="88">
        <f>C281+C284</f>
        <v>132250</v>
      </c>
      <c r="D285" s="88">
        <f>D281+D284</f>
        <v>159690.35999999999</v>
      </c>
      <c r="E285" s="146" t="s">
        <v>108</v>
      </c>
      <c r="F285" s="13"/>
      <c r="G285" s="13"/>
      <c r="H285" s="13"/>
      <c r="I285" s="37"/>
    </row>
    <row r="286" spans="1:9" x14ac:dyDescent="0.2">
      <c r="A286" s="39" t="s">
        <v>39</v>
      </c>
      <c r="B286" s="88">
        <f>B283-E291</f>
        <v>0</v>
      </c>
      <c r="C286" s="88">
        <f>C283-E294</f>
        <v>109475.34</v>
      </c>
      <c r="D286" s="88">
        <f>D283-E318</f>
        <v>42747.709999999992</v>
      </c>
      <c r="E286" s="146" t="s">
        <v>109</v>
      </c>
      <c r="F286" s="13"/>
      <c r="G286" s="13"/>
      <c r="H286" s="13"/>
      <c r="I286" s="37"/>
    </row>
    <row r="287" spans="1:9" x14ac:dyDescent="0.2">
      <c r="A287" s="39" t="s">
        <v>35</v>
      </c>
      <c r="B287" s="89">
        <f>B285-E291-G291</f>
        <v>0</v>
      </c>
      <c r="C287" s="90">
        <f>C285-E294-G294</f>
        <v>109475.34</v>
      </c>
      <c r="D287" s="90">
        <f>D285-E318-G318</f>
        <v>16572.359999999986</v>
      </c>
      <c r="E287" s="146" t="s">
        <v>110</v>
      </c>
      <c r="F287" s="140"/>
      <c r="G287" s="140"/>
      <c r="H287" s="140"/>
      <c r="I287" s="37"/>
    </row>
    <row r="288" spans="1:9" ht="21" thickBot="1" x14ac:dyDescent="0.35">
      <c r="A288" s="39"/>
      <c r="B288" s="13"/>
      <c r="C288" s="13"/>
      <c r="D288" s="13"/>
      <c r="E288" s="14"/>
      <c r="F288" s="13"/>
      <c r="G288" s="13"/>
      <c r="H288" s="13"/>
      <c r="I288" s="37"/>
    </row>
    <row r="289" spans="1:9" ht="51" x14ac:dyDescent="0.2">
      <c r="A289" s="15" t="s">
        <v>41</v>
      </c>
      <c r="B289" s="16" t="s">
        <v>34</v>
      </c>
      <c r="C289" s="20" t="s">
        <v>64</v>
      </c>
      <c r="D289" s="20" t="s">
        <v>63</v>
      </c>
      <c r="E289" s="16" t="s">
        <v>37</v>
      </c>
      <c r="F289" s="16" t="s">
        <v>40</v>
      </c>
      <c r="G289" s="16" t="s">
        <v>46</v>
      </c>
      <c r="H289" s="16" t="s">
        <v>38</v>
      </c>
      <c r="I289" s="17" t="s">
        <v>5</v>
      </c>
    </row>
    <row r="290" spans="1:9" x14ac:dyDescent="0.2">
      <c r="A290" s="31" t="s">
        <v>10</v>
      </c>
      <c r="B290" s="23" t="s">
        <v>10</v>
      </c>
      <c r="C290" s="57">
        <v>66125</v>
      </c>
      <c r="D290" s="50">
        <v>42738</v>
      </c>
      <c r="E290" s="57">
        <v>66125</v>
      </c>
      <c r="F290" s="23" t="s">
        <v>354</v>
      </c>
      <c r="G290" s="23"/>
      <c r="H290" s="23" t="s">
        <v>355</v>
      </c>
      <c r="I290" s="24"/>
    </row>
    <row r="291" spans="1:9" x14ac:dyDescent="0.2">
      <c r="A291" s="25" t="s">
        <v>43</v>
      </c>
      <c r="B291" s="26"/>
      <c r="C291" s="61">
        <f>C290</f>
        <v>66125</v>
      </c>
      <c r="D291" s="26"/>
      <c r="E291" s="61">
        <f>E290</f>
        <v>66125</v>
      </c>
      <c r="F291" s="26"/>
      <c r="G291" s="58">
        <f>G290</f>
        <v>0</v>
      </c>
      <c r="H291" s="26"/>
      <c r="I291" s="27"/>
    </row>
    <row r="292" spans="1:9" x14ac:dyDescent="0.2">
      <c r="A292" s="33"/>
      <c r="B292" s="33"/>
      <c r="C292" s="59"/>
      <c r="D292" s="33"/>
      <c r="E292" s="59"/>
      <c r="F292" s="33"/>
      <c r="G292" s="59"/>
      <c r="H292" s="33"/>
      <c r="I292" s="33"/>
    </row>
    <row r="293" spans="1:9" x14ac:dyDescent="0.2">
      <c r="A293" s="32" t="s">
        <v>44</v>
      </c>
      <c r="B293" s="26" t="s">
        <v>11</v>
      </c>
      <c r="C293" s="58">
        <v>22774.66</v>
      </c>
      <c r="D293" s="50">
        <v>43185</v>
      </c>
      <c r="E293" s="58">
        <v>22774.66</v>
      </c>
      <c r="F293" s="26" t="s">
        <v>531</v>
      </c>
      <c r="G293" s="83"/>
      <c r="H293" s="26" t="s">
        <v>530</v>
      </c>
      <c r="I293" s="43"/>
    </row>
    <row r="294" spans="1:9" x14ac:dyDescent="0.2">
      <c r="A294" s="25" t="s">
        <v>43</v>
      </c>
      <c r="B294" s="26"/>
      <c r="C294" s="60">
        <f>C293</f>
        <v>22774.66</v>
      </c>
      <c r="D294" s="26"/>
      <c r="E294" s="60">
        <f>E293</f>
        <v>22774.66</v>
      </c>
      <c r="F294" s="26"/>
      <c r="G294" s="60">
        <f>G293</f>
        <v>0</v>
      </c>
      <c r="H294" s="26"/>
      <c r="I294" s="27"/>
    </row>
    <row r="295" spans="1:9" x14ac:dyDescent="0.2">
      <c r="A295" s="33"/>
      <c r="B295" s="33"/>
      <c r="C295" s="59"/>
      <c r="D295" s="33"/>
      <c r="E295" s="59"/>
      <c r="F295" s="33"/>
      <c r="G295" s="59"/>
      <c r="H295" s="33"/>
      <c r="I295" s="33"/>
    </row>
    <row r="296" spans="1:9" x14ac:dyDescent="0.2">
      <c r="A296" s="32" t="s">
        <v>42</v>
      </c>
      <c r="B296" s="135"/>
      <c r="C296" s="162"/>
      <c r="D296" s="136"/>
      <c r="E296" s="151"/>
      <c r="F296" s="53"/>
      <c r="G296" s="143">
        <f>C296-E296</f>
        <v>0</v>
      </c>
      <c r="H296" s="135"/>
      <c r="I296" s="27"/>
    </row>
    <row r="297" spans="1:9" x14ac:dyDescent="0.2">
      <c r="A297" s="150"/>
      <c r="B297" s="559" t="s">
        <v>10</v>
      </c>
      <c r="C297" s="143">
        <v>12000</v>
      </c>
      <c r="D297" s="53" t="s">
        <v>358</v>
      </c>
      <c r="E297" s="151">
        <v>11745</v>
      </c>
      <c r="F297" s="565" t="s">
        <v>414</v>
      </c>
      <c r="G297" s="143">
        <f>C297-E297</f>
        <v>255</v>
      </c>
      <c r="H297" s="559" t="s">
        <v>267</v>
      </c>
      <c r="I297" s="42"/>
    </row>
    <row r="298" spans="1:9" x14ac:dyDescent="0.2">
      <c r="A298" s="150"/>
      <c r="B298" s="561"/>
      <c r="C298" s="143"/>
      <c r="D298" s="53"/>
      <c r="E298" s="151"/>
      <c r="F298" s="561"/>
      <c r="G298" s="143">
        <v>-255</v>
      </c>
      <c r="H298" s="561"/>
      <c r="I298" s="42" t="s">
        <v>66</v>
      </c>
    </row>
    <row r="299" spans="1:9" x14ac:dyDescent="0.2">
      <c r="A299" s="137"/>
      <c r="B299" s="145" t="s">
        <v>10</v>
      </c>
      <c r="C299" s="143">
        <v>6000</v>
      </c>
      <c r="D299" s="53" t="s">
        <v>371</v>
      </c>
      <c r="E299" s="82"/>
      <c r="F299" s="52"/>
      <c r="G299" s="143">
        <v>0</v>
      </c>
      <c r="H299" s="145" t="s">
        <v>365</v>
      </c>
      <c r="I299" s="42" t="s">
        <v>440</v>
      </c>
    </row>
    <row r="300" spans="1:9" x14ac:dyDescent="0.2">
      <c r="A300" s="150" t="s">
        <v>113</v>
      </c>
      <c r="B300" s="145" t="s">
        <v>10</v>
      </c>
      <c r="C300" s="143">
        <v>14000</v>
      </c>
      <c r="D300" s="53" t="s">
        <v>372</v>
      </c>
      <c r="E300" s="82">
        <v>14000</v>
      </c>
      <c r="F300" s="52" t="s">
        <v>426</v>
      </c>
      <c r="G300" s="143">
        <f>C300-E300</f>
        <v>0</v>
      </c>
      <c r="H300" s="145" t="s">
        <v>366</v>
      </c>
      <c r="I300" s="79"/>
    </row>
    <row r="301" spans="1:9" x14ac:dyDescent="0.2">
      <c r="A301" s="150"/>
      <c r="B301" s="559" t="s">
        <v>10</v>
      </c>
      <c r="C301" s="575">
        <v>12000</v>
      </c>
      <c r="D301" s="565" t="s">
        <v>373</v>
      </c>
      <c r="E301" s="82">
        <v>10155</v>
      </c>
      <c r="F301" s="52" t="s">
        <v>469</v>
      </c>
      <c r="G301" s="143">
        <f>C301-E301</f>
        <v>1845</v>
      </c>
      <c r="H301" s="559" t="s">
        <v>367</v>
      </c>
      <c r="I301" s="42" t="s">
        <v>189</v>
      </c>
    </row>
    <row r="302" spans="1:9" x14ac:dyDescent="0.2">
      <c r="A302" s="150"/>
      <c r="B302" s="560"/>
      <c r="C302" s="563"/>
      <c r="D302" s="560"/>
      <c r="E302" s="576">
        <v>1145</v>
      </c>
      <c r="F302" s="574" t="s">
        <v>516</v>
      </c>
      <c r="G302" s="143">
        <v>700</v>
      </c>
      <c r="H302" s="560"/>
      <c r="I302" s="42" t="s">
        <v>90</v>
      </c>
    </row>
    <row r="303" spans="1:9" x14ac:dyDescent="0.2">
      <c r="A303" s="150"/>
      <c r="B303" s="561"/>
      <c r="C303" s="564"/>
      <c r="D303" s="561"/>
      <c r="E303" s="564"/>
      <c r="F303" s="561"/>
      <c r="G303" s="143">
        <v>-700</v>
      </c>
      <c r="H303" s="561"/>
      <c r="I303" s="42" t="s">
        <v>515</v>
      </c>
    </row>
    <row r="304" spans="1:9" x14ac:dyDescent="0.2">
      <c r="A304" s="150"/>
      <c r="B304" s="145" t="s">
        <v>10</v>
      </c>
      <c r="C304" s="151">
        <v>0</v>
      </c>
      <c r="D304" s="53" t="s">
        <v>375</v>
      </c>
      <c r="E304" s="82"/>
      <c r="F304" s="52"/>
      <c r="G304" s="143">
        <v>0</v>
      </c>
      <c r="H304" s="145" t="s">
        <v>374</v>
      </c>
      <c r="I304" s="42" t="s">
        <v>428</v>
      </c>
    </row>
    <row r="305" spans="1:9" x14ac:dyDescent="0.2">
      <c r="A305" s="150"/>
      <c r="B305" s="145" t="s">
        <v>11</v>
      </c>
      <c r="C305" s="151">
        <v>8768</v>
      </c>
      <c r="D305" s="53" t="s">
        <v>381</v>
      </c>
      <c r="E305" s="82">
        <v>8768</v>
      </c>
      <c r="F305" s="52" t="s">
        <v>407</v>
      </c>
      <c r="G305" s="143">
        <f t="shared" ref="G305:G317" si="0">C305-E305</f>
        <v>0</v>
      </c>
      <c r="H305" s="145" t="s">
        <v>267</v>
      </c>
      <c r="I305" s="42"/>
    </row>
    <row r="306" spans="1:9" x14ac:dyDescent="0.2">
      <c r="A306" s="150"/>
      <c r="B306" s="145" t="s">
        <v>11</v>
      </c>
      <c r="C306" s="151">
        <v>22960</v>
      </c>
      <c r="D306" s="53" t="s">
        <v>384</v>
      </c>
      <c r="E306" s="82">
        <v>14313.74</v>
      </c>
      <c r="F306" s="52" t="s">
        <v>456</v>
      </c>
      <c r="G306" s="143">
        <f t="shared" si="0"/>
        <v>8646.26</v>
      </c>
      <c r="H306" s="145" t="s">
        <v>383</v>
      </c>
      <c r="I306" s="42"/>
    </row>
    <row r="307" spans="1:9" x14ac:dyDescent="0.2">
      <c r="A307" s="150"/>
      <c r="B307" s="145"/>
      <c r="C307" s="151"/>
      <c r="D307" s="53"/>
      <c r="E307" s="82"/>
      <c r="F307" s="52"/>
      <c r="G307" s="143">
        <v>-8646.26</v>
      </c>
      <c r="H307" s="145" t="s">
        <v>367</v>
      </c>
      <c r="I307" s="42" t="s">
        <v>454</v>
      </c>
    </row>
    <row r="308" spans="1:9" x14ac:dyDescent="0.2">
      <c r="A308" s="150"/>
      <c r="B308" s="145" t="s">
        <v>11</v>
      </c>
      <c r="C308" s="151">
        <v>20000</v>
      </c>
      <c r="D308" s="53" t="s">
        <v>403</v>
      </c>
      <c r="E308" s="82">
        <v>20000</v>
      </c>
      <c r="F308" s="52" t="s">
        <v>460</v>
      </c>
      <c r="G308" s="143">
        <f t="shared" si="0"/>
        <v>0</v>
      </c>
      <c r="H308" s="145" t="s">
        <v>401</v>
      </c>
      <c r="I308" s="42"/>
    </row>
    <row r="309" spans="1:9" x14ac:dyDescent="0.2">
      <c r="A309" s="150"/>
      <c r="B309" s="145" t="s">
        <v>11</v>
      </c>
      <c r="C309" s="151">
        <v>20000</v>
      </c>
      <c r="D309" s="53" t="s">
        <v>404</v>
      </c>
      <c r="E309" s="82">
        <v>20000</v>
      </c>
      <c r="F309" s="574" t="s">
        <v>470</v>
      </c>
      <c r="G309" s="143">
        <f t="shared" si="0"/>
        <v>0</v>
      </c>
      <c r="H309" s="145" t="s">
        <v>402</v>
      </c>
      <c r="I309" s="42"/>
    </row>
    <row r="310" spans="1:9" x14ac:dyDescent="0.2">
      <c r="A310" s="150"/>
      <c r="B310" s="145"/>
      <c r="C310" s="151">
        <v>8646.26</v>
      </c>
      <c r="D310" s="53" t="s">
        <v>461</v>
      </c>
      <c r="E310" s="82">
        <v>8646.26</v>
      </c>
      <c r="F310" s="561"/>
      <c r="G310" s="143">
        <v>0</v>
      </c>
      <c r="H310" s="145" t="s">
        <v>402</v>
      </c>
      <c r="I310" s="42" t="s">
        <v>453</v>
      </c>
    </row>
    <row r="311" spans="1:9" x14ac:dyDescent="0.2">
      <c r="A311" s="150"/>
      <c r="B311" s="145" t="s">
        <v>10</v>
      </c>
      <c r="C311" s="151">
        <v>15000</v>
      </c>
      <c r="D311" s="53" t="s">
        <v>418</v>
      </c>
      <c r="E311" s="82">
        <v>15000</v>
      </c>
      <c r="F311" s="52" t="s">
        <v>464</v>
      </c>
      <c r="G311" s="143">
        <f t="shared" si="0"/>
        <v>0</v>
      </c>
      <c r="H311" s="145" t="s">
        <v>416</v>
      </c>
      <c r="I311" s="42" t="s">
        <v>450</v>
      </c>
    </row>
    <row r="312" spans="1:9" x14ac:dyDescent="0.2">
      <c r="A312" s="150"/>
      <c r="B312" s="145" t="s">
        <v>10</v>
      </c>
      <c r="C312" s="151">
        <v>7500</v>
      </c>
      <c r="D312" s="53" t="s">
        <v>449</v>
      </c>
      <c r="E312" s="82">
        <v>2982.96</v>
      </c>
      <c r="F312" s="52" t="s">
        <v>464</v>
      </c>
      <c r="G312" s="143">
        <v>0</v>
      </c>
      <c r="H312" s="145" t="s">
        <v>416</v>
      </c>
      <c r="I312" s="42" t="s">
        <v>442</v>
      </c>
    </row>
    <row r="313" spans="1:9" x14ac:dyDescent="0.2">
      <c r="A313" s="150"/>
      <c r="B313" s="145"/>
      <c r="C313" s="151"/>
      <c r="D313" s="53"/>
      <c r="E313" s="82">
        <v>4517.04</v>
      </c>
      <c r="F313" s="52" t="s">
        <v>484</v>
      </c>
      <c r="G313" s="143">
        <f>-G312</f>
        <v>0</v>
      </c>
      <c r="H313" s="145" t="s">
        <v>416</v>
      </c>
      <c r="I313" s="42"/>
    </row>
    <row r="314" spans="1:9" x14ac:dyDescent="0.2">
      <c r="A314" s="150"/>
      <c r="B314" s="145" t="s">
        <v>10</v>
      </c>
      <c r="C314" s="151">
        <v>10000</v>
      </c>
      <c r="D314" s="53" t="s">
        <v>417</v>
      </c>
      <c r="E314" s="82">
        <v>2635.94</v>
      </c>
      <c r="F314" s="52" t="s">
        <v>452</v>
      </c>
      <c r="G314" s="143">
        <f t="shared" si="0"/>
        <v>7364.0599999999995</v>
      </c>
      <c r="H314" s="145" t="s">
        <v>401</v>
      </c>
      <c r="I314" s="42" t="s">
        <v>188</v>
      </c>
    </row>
    <row r="315" spans="1:9" x14ac:dyDescent="0.2">
      <c r="A315" s="150"/>
      <c r="B315" s="145"/>
      <c r="C315" s="151"/>
      <c r="D315" s="53"/>
      <c r="E315" s="82">
        <v>5610</v>
      </c>
      <c r="F315" s="216" t="s">
        <v>527</v>
      </c>
      <c r="G315" s="143">
        <f>G314-E315</f>
        <v>1754.0599999999995</v>
      </c>
      <c r="H315" s="145"/>
      <c r="I315" s="42" t="s">
        <v>90</v>
      </c>
    </row>
    <row r="316" spans="1:9" x14ac:dyDescent="0.2">
      <c r="A316" s="150"/>
      <c r="B316" s="145"/>
      <c r="C316" s="151"/>
      <c r="D316" s="53"/>
      <c r="E316" s="82"/>
      <c r="F316" s="52"/>
      <c r="G316" s="143">
        <v>-1754.06</v>
      </c>
      <c r="H316" s="145"/>
      <c r="I316" s="42" t="s">
        <v>66</v>
      </c>
    </row>
    <row r="317" spans="1:9" x14ac:dyDescent="0.2">
      <c r="A317" s="150"/>
      <c r="B317" s="145" t="s">
        <v>10</v>
      </c>
      <c r="C317" s="151">
        <v>13000</v>
      </c>
      <c r="D317" s="53" t="s">
        <v>429</v>
      </c>
      <c r="E317" s="82">
        <v>13000</v>
      </c>
      <c r="F317" s="52" t="s">
        <v>432</v>
      </c>
      <c r="G317" s="143">
        <f t="shared" si="0"/>
        <v>0</v>
      </c>
      <c r="H317" s="145" t="s">
        <v>402</v>
      </c>
      <c r="I317" s="42"/>
    </row>
    <row r="318" spans="1:9" ht="13.5" thickBot="1" x14ac:dyDescent="0.25">
      <c r="A318" s="28" t="s">
        <v>43</v>
      </c>
      <c r="B318" s="29"/>
      <c r="C318" s="56">
        <f>SUM(C296:C317)</f>
        <v>169874.26</v>
      </c>
      <c r="D318" s="29"/>
      <c r="E318" s="56">
        <f>SUM(E296:E314)</f>
        <v>133908.94</v>
      </c>
      <c r="F318" s="54"/>
      <c r="G318" s="56">
        <f>SUM(G296:G317)</f>
        <v>9209.06</v>
      </c>
      <c r="H318" s="29"/>
      <c r="I318" s="30"/>
    </row>
    <row r="319" spans="1:9" ht="13.5" thickBot="1" x14ac:dyDescent="0.25"/>
    <row r="320" spans="1:9" ht="21" thickBot="1" x14ac:dyDescent="0.25">
      <c r="A320" s="550" t="s">
        <v>213</v>
      </c>
      <c r="B320" s="551"/>
      <c r="C320" s="551"/>
      <c r="D320" s="551"/>
      <c r="E320" s="551"/>
      <c r="F320" s="551"/>
      <c r="G320" s="551"/>
      <c r="H320" s="551"/>
      <c r="I320" s="552"/>
    </row>
    <row r="321" spans="1:9" ht="20.25" x14ac:dyDescent="0.3">
      <c r="A321" s="39"/>
      <c r="B321" s="13" t="s">
        <v>208</v>
      </c>
      <c r="C321" s="13" t="s">
        <v>209</v>
      </c>
      <c r="D321" s="87" t="s">
        <v>210</v>
      </c>
      <c r="E321" s="14"/>
      <c r="F321" s="13"/>
      <c r="G321" s="13"/>
      <c r="H321" s="13"/>
      <c r="I321" s="37"/>
    </row>
    <row r="322" spans="1:9" ht="20.25" x14ac:dyDescent="0.3">
      <c r="A322" s="39" t="s">
        <v>214</v>
      </c>
      <c r="B322" s="88">
        <v>66125</v>
      </c>
      <c r="C322" s="88">
        <v>66125</v>
      </c>
      <c r="D322" s="88">
        <v>143750</v>
      </c>
      <c r="E322" s="14"/>
      <c r="F322" s="13"/>
      <c r="G322" s="13"/>
      <c r="H322" s="13"/>
      <c r="I322" s="37"/>
    </row>
    <row r="323" spans="1:9" ht="20.25" x14ac:dyDescent="0.3">
      <c r="A323" s="39" t="s">
        <v>36</v>
      </c>
      <c r="B323" s="88">
        <f>IF(B368&gt;66125,66125,B368)</f>
        <v>0</v>
      </c>
      <c r="C323" s="88">
        <f>IF(C368&gt;66125,66125,C368)</f>
        <v>66125</v>
      </c>
      <c r="D323" s="88">
        <f>IF(D368&gt;143750,143750,D368)</f>
        <v>26685.01999999999</v>
      </c>
      <c r="E323" s="14"/>
      <c r="F323" s="13"/>
      <c r="G323" s="13"/>
      <c r="H323" s="13"/>
      <c r="I323" s="37"/>
    </row>
    <row r="324" spans="1:9" x14ac:dyDescent="0.2">
      <c r="A324" s="39" t="s">
        <v>211</v>
      </c>
      <c r="B324" s="88">
        <f>SUM(B322:B323)</f>
        <v>66125</v>
      </c>
      <c r="C324" s="88">
        <f>SUM(C322:C323)</f>
        <v>132250</v>
      </c>
      <c r="D324" s="88">
        <f>SUM(D322:D323)</f>
        <v>170435.02</v>
      </c>
      <c r="E324" s="125" t="s">
        <v>107</v>
      </c>
      <c r="F324" s="13"/>
      <c r="G324" s="13"/>
      <c r="H324" s="13"/>
      <c r="I324" s="37"/>
    </row>
    <row r="325" spans="1:9" x14ac:dyDescent="0.2">
      <c r="A325" s="39" t="s">
        <v>47</v>
      </c>
      <c r="B325" s="88">
        <f>B369</f>
        <v>0</v>
      </c>
      <c r="C325" s="88">
        <f>IF(C369&gt;66125,66125,C369)</f>
        <v>66125</v>
      </c>
      <c r="D325" s="88">
        <f>D369</f>
        <v>9718.7299999999814</v>
      </c>
      <c r="E325" s="554"/>
      <c r="F325" s="554"/>
      <c r="G325" s="554"/>
      <c r="H325" s="554"/>
      <c r="I325" s="573"/>
    </row>
    <row r="326" spans="1:9" x14ac:dyDescent="0.2">
      <c r="A326" s="39" t="s">
        <v>45</v>
      </c>
      <c r="B326" s="88">
        <f>B322+B325</f>
        <v>66125</v>
      </c>
      <c r="C326" s="88">
        <f>C322+C325</f>
        <v>132250</v>
      </c>
      <c r="D326" s="88">
        <f>D322+D325</f>
        <v>153468.72999999998</v>
      </c>
      <c r="E326" s="146" t="s">
        <v>108</v>
      </c>
      <c r="F326" s="13"/>
      <c r="G326" s="13"/>
      <c r="H326" s="13"/>
      <c r="I326" s="37"/>
    </row>
    <row r="327" spans="1:9" x14ac:dyDescent="0.2">
      <c r="A327" s="39" t="s">
        <v>39</v>
      </c>
      <c r="B327" s="88">
        <f>B324-E332</f>
        <v>0</v>
      </c>
      <c r="C327" s="88">
        <f>C324-E335</f>
        <v>107580.35</v>
      </c>
      <c r="D327" s="88">
        <f>D324-E358</f>
        <v>32906.649999999994</v>
      </c>
      <c r="E327" s="146" t="s">
        <v>109</v>
      </c>
      <c r="F327" s="13"/>
      <c r="G327" s="13"/>
      <c r="H327" s="13"/>
      <c r="I327" s="37"/>
    </row>
    <row r="328" spans="1:9" x14ac:dyDescent="0.2">
      <c r="A328" s="39" t="s">
        <v>35</v>
      </c>
      <c r="B328" s="89">
        <f>B326-E332-G332</f>
        <v>0</v>
      </c>
      <c r="C328" s="90">
        <f>C326-E335-G335</f>
        <v>107580.35</v>
      </c>
      <c r="D328" s="90">
        <f>D326-E358-G358</f>
        <v>15940.359999999986</v>
      </c>
      <c r="E328" s="146" t="s">
        <v>110</v>
      </c>
      <c r="F328" s="140"/>
      <c r="G328" s="140"/>
      <c r="H328" s="140"/>
      <c r="I328" s="37"/>
    </row>
    <row r="329" spans="1:9" ht="21" thickBot="1" x14ac:dyDescent="0.35">
      <c r="A329" s="39"/>
      <c r="B329" s="13"/>
      <c r="C329" s="13"/>
      <c r="D329" s="13"/>
      <c r="E329" s="14"/>
      <c r="F329" s="13"/>
      <c r="G329" s="13"/>
      <c r="H329" s="13"/>
      <c r="I329" s="37"/>
    </row>
    <row r="330" spans="1:9" ht="51" x14ac:dyDescent="0.2">
      <c r="A330" s="15" t="s">
        <v>41</v>
      </c>
      <c r="B330" s="16" t="s">
        <v>34</v>
      </c>
      <c r="C330" s="20" t="s">
        <v>64</v>
      </c>
      <c r="D330" s="20" t="s">
        <v>63</v>
      </c>
      <c r="E330" s="16" t="s">
        <v>37</v>
      </c>
      <c r="F330" s="16" t="s">
        <v>40</v>
      </c>
      <c r="G330" s="16" t="s">
        <v>46</v>
      </c>
      <c r="H330" s="16" t="s">
        <v>38</v>
      </c>
      <c r="I330" s="17" t="s">
        <v>5</v>
      </c>
    </row>
    <row r="331" spans="1:9" x14ac:dyDescent="0.2">
      <c r="A331" s="31" t="s">
        <v>10</v>
      </c>
      <c r="B331" s="23" t="s">
        <v>10</v>
      </c>
      <c r="C331" s="57">
        <v>66125</v>
      </c>
      <c r="D331" s="50">
        <v>42373</v>
      </c>
      <c r="E331" s="57">
        <v>66125</v>
      </c>
      <c r="F331" s="23" t="s">
        <v>227</v>
      </c>
      <c r="G331" s="23"/>
      <c r="H331" s="23" t="s">
        <v>228</v>
      </c>
      <c r="I331" s="24"/>
    </row>
    <row r="332" spans="1:9" x14ac:dyDescent="0.2">
      <c r="A332" s="25" t="s">
        <v>43</v>
      </c>
      <c r="B332" s="26"/>
      <c r="C332" s="61">
        <f>C331</f>
        <v>66125</v>
      </c>
      <c r="D332" s="26"/>
      <c r="E332" s="61">
        <f>E331</f>
        <v>66125</v>
      </c>
      <c r="F332" s="26"/>
      <c r="G332" s="58">
        <f>G331</f>
        <v>0</v>
      </c>
      <c r="H332" s="26"/>
      <c r="I332" s="27"/>
    </row>
    <row r="333" spans="1:9" x14ac:dyDescent="0.2">
      <c r="A333" s="33"/>
      <c r="B333" s="33"/>
      <c r="C333" s="59"/>
      <c r="D333" s="33"/>
      <c r="E333" s="59"/>
      <c r="F333" s="33"/>
      <c r="G333" s="59"/>
      <c r="H333" s="33"/>
      <c r="I333" s="33"/>
    </row>
    <row r="334" spans="1:9" x14ac:dyDescent="0.2">
      <c r="A334" s="32" t="s">
        <v>44</v>
      </c>
      <c r="B334" s="26" t="s">
        <v>11</v>
      </c>
      <c r="C334" s="58"/>
      <c r="D334" s="50"/>
      <c r="E334" s="58">
        <v>24669.65</v>
      </c>
      <c r="F334" s="26" t="s">
        <v>393</v>
      </c>
      <c r="G334" s="83">
        <v>0</v>
      </c>
      <c r="H334" s="26" t="s">
        <v>387</v>
      </c>
      <c r="I334" s="43"/>
    </row>
    <row r="335" spans="1:9" x14ac:dyDescent="0.2">
      <c r="A335" s="25" t="s">
        <v>43</v>
      </c>
      <c r="B335" s="26"/>
      <c r="C335" s="60">
        <f>C334</f>
        <v>0</v>
      </c>
      <c r="D335" s="26"/>
      <c r="E335" s="60">
        <f>E334</f>
        <v>24669.65</v>
      </c>
      <c r="F335" s="26"/>
      <c r="G335" s="60">
        <f>G334</f>
        <v>0</v>
      </c>
      <c r="H335" s="26"/>
      <c r="I335" s="27"/>
    </row>
    <row r="336" spans="1:9" x14ac:dyDescent="0.2">
      <c r="A336" s="33"/>
      <c r="B336" s="33"/>
      <c r="C336" s="59"/>
      <c r="D336" s="33"/>
      <c r="E336" s="59"/>
      <c r="F336" s="33"/>
      <c r="G336" s="59"/>
      <c r="H336" s="33"/>
      <c r="I336" s="33"/>
    </row>
    <row r="337" spans="1:9" x14ac:dyDescent="0.2">
      <c r="A337" s="32" t="s">
        <v>42</v>
      </c>
      <c r="B337" s="135"/>
      <c r="C337" s="162"/>
      <c r="D337" s="136"/>
      <c r="E337" s="151"/>
      <c r="F337" s="53"/>
      <c r="G337" s="143"/>
      <c r="H337" s="135"/>
      <c r="I337" s="27"/>
    </row>
    <row r="338" spans="1:9" x14ac:dyDescent="0.2">
      <c r="A338" s="147"/>
      <c r="B338" s="173" t="s">
        <v>11</v>
      </c>
      <c r="C338" s="575">
        <v>14000</v>
      </c>
      <c r="D338" s="574" t="s">
        <v>192</v>
      </c>
      <c r="E338" s="562">
        <v>1452.2</v>
      </c>
      <c r="F338" s="565" t="s">
        <v>269</v>
      </c>
      <c r="G338" s="143">
        <f>C338-E338</f>
        <v>12547.8</v>
      </c>
      <c r="H338" s="574" t="s">
        <v>193</v>
      </c>
      <c r="I338" s="42" t="s">
        <v>92</v>
      </c>
    </row>
    <row r="339" spans="1:9" x14ac:dyDescent="0.2">
      <c r="A339" s="147"/>
      <c r="B339" s="166"/>
      <c r="C339" s="564"/>
      <c r="D339" s="561"/>
      <c r="E339" s="564"/>
      <c r="F339" s="561"/>
      <c r="G339" s="143">
        <v>-12547.8</v>
      </c>
      <c r="H339" s="561"/>
      <c r="I339" s="42" t="s">
        <v>270</v>
      </c>
    </row>
    <row r="340" spans="1:9" x14ac:dyDescent="0.2">
      <c r="A340" s="147"/>
      <c r="B340" s="559" t="s">
        <v>11</v>
      </c>
      <c r="C340" s="575">
        <v>8420</v>
      </c>
      <c r="D340" s="565" t="s">
        <v>234</v>
      </c>
      <c r="E340" s="562">
        <v>4634.67</v>
      </c>
      <c r="F340" s="574" t="s">
        <v>305</v>
      </c>
      <c r="G340" s="143">
        <f>C340-E340</f>
        <v>3785.33</v>
      </c>
      <c r="H340" s="559" t="s">
        <v>232</v>
      </c>
      <c r="I340" s="42" t="s">
        <v>92</v>
      </c>
    </row>
    <row r="341" spans="1:9" x14ac:dyDescent="0.2">
      <c r="A341" s="147"/>
      <c r="B341" s="561"/>
      <c r="C341" s="564"/>
      <c r="D341" s="561"/>
      <c r="E341" s="564"/>
      <c r="F341" s="561"/>
      <c r="G341" s="143">
        <v>-3785.33</v>
      </c>
      <c r="H341" s="561"/>
      <c r="I341" s="42" t="s">
        <v>297</v>
      </c>
    </row>
    <row r="342" spans="1:9" x14ac:dyDescent="0.2">
      <c r="A342" s="147"/>
      <c r="B342" s="145" t="s">
        <v>10</v>
      </c>
      <c r="C342" s="143">
        <v>20000</v>
      </c>
      <c r="D342" s="53" t="s">
        <v>250</v>
      </c>
      <c r="E342" s="151"/>
      <c r="F342" s="148"/>
      <c r="G342" s="143">
        <v>0</v>
      </c>
      <c r="H342" s="145" t="s">
        <v>29</v>
      </c>
      <c r="I342" s="42" t="s">
        <v>273</v>
      </c>
    </row>
    <row r="343" spans="1:9" x14ac:dyDescent="0.2">
      <c r="A343" s="147"/>
      <c r="B343" s="559" t="s">
        <v>10</v>
      </c>
      <c r="C343" s="575">
        <v>16800</v>
      </c>
      <c r="D343" s="565" t="s">
        <v>309</v>
      </c>
      <c r="E343" s="562">
        <v>12901</v>
      </c>
      <c r="F343" s="565" t="s">
        <v>313</v>
      </c>
      <c r="G343" s="143">
        <f>C343-E343</f>
        <v>3899</v>
      </c>
      <c r="H343" s="559" t="s">
        <v>29</v>
      </c>
      <c r="I343" s="42" t="s">
        <v>100</v>
      </c>
    </row>
    <row r="344" spans="1:9" x14ac:dyDescent="0.2">
      <c r="A344" s="147"/>
      <c r="B344" s="561"/>
      <c r="C344" s="564"/>
      <c r="D344" s="561"/>
      <c r="E344" s="564"/>
      <c r="F344" s="561"/>
      <c r="G344" s="143">
        <v>-3899</v>
      </c>
      <c r="H344" s="561"/>
      <c r="I344" s="42" t="s">
        <v>67</v>
      </c>
    </row>
    <row r="345" spans="1:9" x14ac:dyDescent="0.2">
      <c r="A345" s="137"/>
      <c r="B345" s="145" t="s">
        <v>10</v>
      </c>
      <c r="C345" s="143">
        <v>12000</v>
      </c>
      <c r="D345" s="53" t="s">
        <v>248</v>
      </c>
      <c r="E345" s="82">
        <v>5549.17</v>
      </c>
      <c r="F345" s="52" t="s">
        <v>451</v>
      </c>
      <c r="G345" s="143">
        <f>C345-E345-E346</f>
        <v>5536.83</v>
      </c>
      <c r="H345" s="145" t="s">
        <v>247</v>
      </c>
      <c r="I345" s="42" t="s">
        <v>188</v>
      </c>
    </row>
    <row r="346" spans="1:9" x14ac:dyDescent="0.2">
      <c r="A346" s="137"/>
      <c r="B346" s="145"/>
      <c r="C346" s="143"/>
      <c r="D346" s="53"/>
      <c r="E346" s="82">
        <v>914</v>
      </c>
      <c r="F346" s="221" t="s">
        <v>580</v>
      </c>
      <c r="G346" s="143">
        <v>-5536.83</v>
      </c>
      <c r="H346" s="145"/>
      <c r="I346" s="42" t="s">
        <v>569</v>
      </c>
    </row>
    <row r="347" spans="1:9" x14ac:dyDescent="0.2">
      <c r="A347" s="137"/>
      <c r="B347" s="145"/>
      <c r="C347" s="143"/>
      <c r="D347" s="53"/>
      <c r="E347" s="82"/>
      <c r="F347" s="52"/>
      <c r="G347" s="143"/>
      <c r="H347" s="145"/>
      <c r="I347" s="42"/>
    </row>
    <row r="348" spans="1:9" x14ac:dyDescent="0.2">
      <c r="A348" s="137"/>
      <c r="B348" s="559" t="s">
        <v>10</v>
      </c>
      <c r="C348" s="575">
        <v>4000</v>
      </c>
      <c r="D348" s="565" t="s">
        <v>249</v>
      </c>
      <c r="E348" s="576">
        <v>3886</v>
      </c>
      <c r="F348" s="574" t="s">
        <v>290</v>
      </c>
      <c r="G348" s="143">
        <f>C348-E348</f>
        <v>114</v>
      </c>
      <c r="H348" s="559" t="s">
        <v>193</v>
      </c>
      <c r="I348" s="569" t="s">
        <v>289</v>
      </c>
    </row>
    <row r="349" spans="1:9" x14ac:dyDescent="0.2">
      <c r="A349" s="137"/>
      <c r="B349" s="561"/>
      <c r="C349" s="564"/>
      <c r="D349" s="561"/>
      <c r="E349" s="564"/>
      <c r="F349" s="561"/>
      <c r="G349" s="143">
        <v>-114</v>
      </c>
      <c r="H349" s="561"/>
      <c r="I349" s="570"/>
    </row>
    <row r="350" spans="1:9" x14ac:dyDescent="0.2">
      <c r="A350" s="150" t="s">
        <v>113</v>
      </c>
      <c r="B350" s="145" t="s">
        <v>11</v>
      </c>
      <c r="C350" s="143">
        <v>40000</v>
      </c>
      <c r="D350" s="53" t="s">
        <v>259</v>
      </c>
      <c r="E350" s="82">
        <v>40000</v>
      </c>
      <c r="F350" s="52" t="s">
        <v>276</v>
      </c>
      <c r="G350" s="143">
        <f>C350-E350</f>
        <v>0</v>
      </c>
      <c r="H350" s="145" t="s">
        <v>29</v>
      </c>
      <c r="I350" s="79"/>
    </row>
    <row r="351" spans="1:9" x14ac:dyDescent="0.2">
      <c r="A351" s="150"/>
      <c r="B351" s="145" t="s">
        <v>263</v>
      </c>
      <c r="C351" s="143">
        <v>2236</v>
      </c>
      <c r="D351" s="53" t="s">
        <v>264</v>
      </c>
      <c r="E351" s="82">
        <v>2236</v>
      </c>
      <c r="F351" s="52" t="s">
        <v>272</v>
      </c>
      <c r="G351" s="143">
        <f>C351-E351</f>
        <v>0</v>
      </c>
      <c r="H351" s="145" t="s">
        <v>232</v>
      </c>
      <c r="I351" s="79"/>
    </row>
    <row r="352" spans="1:9" x14ac:dyDescent="0.2">
      <c r="A352" s="150"/>
      <c r="B352" s="145" t="s">
        <v>10</v>
      </c>
      <c r="C352" s="143">
        <v>20000</v>
      </c>
      <c r="D352" s="53" t="s">
        <v>268</v>
      </c>
      <c r="E352" s="576">
        <v>33200</v>
      </c>
      <c r="F352" s="574" t="s">
        <v>316</v>
      </c>
      <c r="G352" s="143">
        <v>0</v>
      </c>
      <c r="H352" s="559" t="s">
        <v>267</v>
      </c>
      <c r="I352" s="42" t="s">
        <v>100</v>
      </c>
    </row>
    <row r="353" spans="1:9" x14ac:dyDescent="0.2">
      <c r="A353" s="150"/>
      <c r="B353" s="145" t="s">
        <v>10</v>
      </c>
      <c r="C353" s="143">
        <v>13200</v>
      </c>
      <c r="D353" s="53" t="s">
        <v>310</v>
      </c>
      <c r="E353" s="564"/>
      <c r="F353" s="561"/>
      <c r="G353" s="143">
        <v>0</v>
      </c>
      <c r="H353" s="561"/>
      <c r="I353" s="42"/>
    </row>
    <row r="354" spans="1:9" x14ac:dyDescent="0.2">
      <c r="A354" s="150"/>
      <c r="B354" s="135" t="s">
        <v>11</v>
      </c>
      <c r="C354" s="143">
        <f>21108+3785.33</f>
        <v>24893.33</v>
      </c>
      <c r="D354" s="53" t="s">
        <v>320</v>
      </c>
      <c r="E354" s="82">
        <v>24893.33</v>
      </c>
      <c r="F354" s="52" t="s">
        <v>339</v>
      </c>
      <c r="G354" s="143">
        <f>C354-E354</f>
        <v>0</v>
      </c>
      <c r="H354" s="135" t="s">
        <v>267</v>
      </c>
      <c r="I354" s="42" t="s">
        <v>306</v>
      </c>
    </row>
    <row r="355" spans="1:9" x14ac:dyDescent="0.2">
      <c r="A355" s="150"/>
      <c r="B355" s="181" t="s">
        <v>263</v>
      </c>
      <c r="C355" s="143">
        <v>1765</v>
      </c>
      <c r="D355" s="53" t="s">
        <v>346</v>
      </c>
      <c r="E355" s="82">
        <v>1765</v>
      </c>
      <c r="F355" s="52" t="s">
        <v>359</v>
      </c>
      <c r="G355" s="143">
        <f>C355-E355</f>
        <v>0</v>
      </c>
      <c r="H355" s="181" t="s">
        <v>296</v>
      </c>
      <c r="I355" s="182"/>
    </row>
    <row r="356" spans="1:9" x14ac:dyDescent="0.2">
      <c r="A356" s="150"/>
      <c r="B356" s="145" t="s">
        <v>11</v>
      </c>
      <c r="C356" s="151">
        <v>5000</v>
      </c>
      <c r="D356" s="53" t="s">
        <v>307</v>
      </c>
      <c r="E356" s="82">
        <v>5000</v>
      </c>
      <c r="F356" s="52" t="s">
        <v>341</v>
      </c>
      <c r="G356" s="143">
        <f>C356-E356</f>
        <v>0</v>
      </c>
      <c r="H356" s="145" t="s">
        <v>296</v>
      </c>
      <c r="I356" s="42"/>
    </row>
    <row r="357" spans="1:9" x14ac:dyDescent="0.2">
      <c r="A357" s="150"/>
      <c r="B357" s="145" t="s">
        <v>263</v>
      </c>
      <c r="C357" s="151">
        <v>1097</v>
      </c>
      <c r="D357" s="53" t="s">
        <v>350</v>
      </c>
      <c r="E357" s="82">
        <v>1097</v>
      </c>
      <c r="F357" s="52" t="s">
        <v>353</v>
      </c>
      <c r="G357" s="143"/>
      <c r="H357" s="145" t="s">
        <v>351</v>
      </c>
      <c r="I357" s="42"/>
    </row>
    <row r="358" spans="1:9" ht="13.5" thickBot="1" x14ac:dyDescent="0.25">
      <c r="A358" s="28" t="s">
        <v>43</v>
      </c>
      <c r="B358" s="29"/>
      <c r="C358" s="56">
        <f>SUM(C337:C357)</f>
        <v>183411.33000000002</v>
      </c>
      <c r="D358" s="29"/>
      <c r="E358" s="56">
        <f>SUM(E337:E357)</f>
        <v>137528.37</v>
      </c>
      <c r="F358" s="54"/>
      <c r="G358" s="56">
        <f>SUM(G337:G357)</f>
        <v>0</v>
      </c>
      <c r="H358" s="29"/>
      <c r="I358" s="30"/>
    </row>
    <row r="360" spans="1:9" ht="13.5" thickBot="1" x14ac:dyDescent="0.25"/>
    <row r="361" spans="1:9" ht="21" thickBot="1" x14ac:dyDescent="0.25">
      <c r="A361" s="550" t="s">
        <v>123</v>
      </c>
      <c r="B361" s="551"/>
      <c r="C361" s="551"/>
      <c r="D361" s="551"/>
      <c r="E361" s="551"/>
      <c r="F361" s="551"/>
      <c r="G361" s="551"/>
      <c r="H361" s="551"/>
      <c r="I361" s="552"/>
    </row>
    <row r="362" spans="1:9" ht="20.25" x14ac:dyDescent="0.3">
      <c r="A362" s="39"/>
      <c r="B362" s="13" t="s">
        <v>118</v>
      </c>
      <c r="C362" s="13" t="s">
        <v>119</v>
      </c>
      <c r="D362" s="87" t="s">
        <v>120</v>
      </c>
      <c r="E362" s="14"/>
      <c r="F362" s="13"/>
      <c r="G362" s="13"/>
      <c r="H362" s="13"/>
      <c r="I362" s="37"/>
    </row>
    <row r="363" spans="1:9" ht="20.25" x14ac:dyDescent="0.3">
      <c r="A363" s="39" t="s">
        <v>124</v>
      </c>
      <c r="B363" s="88">
        <v>66125</v>
      </c>
      <c r="C363" s="88">
        <v>66125</v>
      </c>
      <c r="D363" s="88">
        <v>143750</v>
      </c>
      <c r="E363" s="14"/>
      <c r="F363" s="13"/>
      <c r="G363" s="13"/>
      <c r="H363" s="13"/>
      <c r="I363" s="37"/>
    </row>
    <row r="364" spans="1:9" ht="20.25" x14ac:dyDescent="0.3">
      <c r="A364" s="39" t="s">
        <v>36</v>
      </c>
      <c r="B364" s="88">
        <v>0</v>
      </c>
      <c r="C364" s="88">
        <v>66125</v>
      </c>
      <c r="D364" s="88">
        <v>27266.31</v>
      </c>
      <c r="E364" s="14"/>
      <c r="F364" s="13"/>
      <c r="G364" s="13"/>
      <c r="H364" s="13"/>
      <c r="I364" s="37"/>
    </row>
    <row r="365" spans="1:9" x14ac:dyDescent="0.2">
      <c r="A365" s="39" t="s">
        <v>121</v>
      </c>
      <c r="B365" s="88">
        <f>SUM(B363:B364)</f>
        <v>66125</v>
      </c>
      <c r="C365" s="88">
        <f>SUM(C363:C364)</f>
        <v>132250</v>
      </c>
      <c r="D365" s="88">
        <f>SUM(D363:D364)</f>
        <v>171016.31</v>
      </c>
      <c r="E365" s="125" t="s">
        <v>107</v>
      </c>
      <c r="F365" s="13"/>
      <c r="G365" s="13"/>
      <c r="H365" s="13"/>
      <c r="I365" s="37"/>
    </row>
    <row r="366" spans="1:9" x14ac:dyDescent="0.2">
      <c r="A366" s="39" t="s">
        <v>47</v>
      </c>
      <c r="B366" s="88">
        <v>0</v>
      </c>
      <c r="C366" s="88">
        <v>66125</v>
      </c>
      <c r="D366" s="88">
        <v>24207.02</v>
      </c>
      <c r="E366" s="554"/>
      <c r="F366" s="554"/>
      <c r="G366" s="554"/>
      <c r="H366" s="554"/>
      <c r="I366" s="573"/>
    </row>
    <row r="367" spans="1:9" x14ac:dyDescent="0.2">
      <c r="A367" s="39" t="s">
        <v>45</v>
      </c>
      <c r="B367" s="88">
        <f>B363+B366</f>
        <v>66125</v>
      </c>
      <c r="C367" s="88">
        <f>C363+C366</f>
        <v>132250</v>
      </c>
      <c r="D367" s="88">
        <f>D363+D366</f>
        <v>167957.02</v>
      </c>
      <c r="E367" s="146" t="s">
        <v>108</v>
      </c>
      <c r="F367" s="13"/>
      <c r="G367" s="13"/>
      <c r="H367" s="13"/>
      <c r="I367" s="37"/>
    </row>
    <row r="368" spans="1:9" x14ac:dyDescent="0.2">
      <c r="A368" s="39" t="s">
        <v>39</v>
      </c>
      <c r="B368" s="88">
        <f>B365-E373</f>
        <v>0</v>
      </c>
      <c r="C368" s="88">
        <f>C365-E376</f>
        <v>89927.98000000001</v>
      </c>
      <c r="D368" s="88">
        <f>D365-E392</f>
        <v>26685.01999999999</v>
      </c>
      <c r="E368" s="146" t="s">
        <v>109</v>
      </c>
      <c r="F368" s="13"/>
      <c r="G368" s="13"/>
      <c r="H368" s="13"/>
      <c r="I368" s="37"/>
    </row>
    <row r="369" spans="1:9" x14ac:dyDescent="0.2">
      <c r="A369" s="39" t="s">
        <v>35</v>
      </c>
      <c r="B369" s="89">
        <f>B367-E373-G373</f>
        <v>0</v>
      </c>
      <c r="C369" s="90">
        <f>C367-E376-G376</f>
        <v>89927.98000000001</v>
      </c>
      <c r="D369" s="90">
        <f>D367-E392-G392</f>
        <v>9718.7299999999814</v>
      </c>
      <c r="E369" s="146" t="s">
        <v>110</v>
      </c>
      <c r="F369" s="140"/>
      <c r="G369" s="140"/>
      <c r="H369" s="140"/>
      <c r="I369" s="37"/>
    </row>
    <row r="370" spans="1:9" ht="21" thickBot="1" x14ac:dyDescent="0.35">
      <c r="A370" s="39"/>
      <c r="B370" s="13"/>
      <c r="C370" s="13"/>
      <c r="D370" s="13"/>
      <c r="E370" s="14"/>
      <c r="F370" s="13"/>
      <c r="G370" s="13"/>
      <c r="H370" s="13"/>
      <c r="I370" s="37"/>
    </row>
    <row r="371" spans="1:9" ht="51" x14ac:dyDescent="0.2">
      <c r="A371" s="15" t="s">
        <v>41</v>
      </c>
      <c r="B371" s="16" t="s">
        <v>34</v>
      </c>
      <c r="C371" s="20" t="s">
        <v>64</v>
      </c>
      <c r="D371" s="20" t="s">
        <v>63</v>
      </c>
      <c r="E371" s="16" t="s">
        <v>37</v>
      </c>
      <c r="F371" s="16" t="s">
        <v>40</v>
      </c>
      <c r="G371" s="16" t="s">
        <v>46</v>
      </c>
      <c r="H371" s="16" t="s">
        <v>38</v>
      </c>
      <c r="I371" s="17" t="s">
        <v>5</v>
      </c>
    </row>
    <row r="372" spans="1:9" x14ac:dyDescent="0.2">
      <c r="A372" s="31" t="s">
        <v>10</v>
      </c>
      <c r="B372" s="23" t="s">
        <v>10</v>
      </c>
      <c r="C372" s="57">
        <v>66125</v>
      </c>
      <c r="D372" s="50">
        <v>42006</v>
      </c>
      <c r="E372" s="57">
        <v>66125</v>
      </c>
      <c r="F372" s="23" t="s">
        <v>175</v>
      </c>
      <c r="G372" s="23">
        <f>IF(E372="",C372,0)</f>
        <v>0</v>
      </c>
      <c r="H372" s="23" t="s">
        <v>136</v>
      </c>
      <c r="I372" s="24"/>
    </row>
    <row r="373" spans="1:9" x14ac:dyDescent="0.2">
      <c r="A373" s="25" t="s">
        <v>43</v>
      </c>
      <c r="B373" s="26"/>
      <c r="C373" s="61">
        <f>C372</f>
        <v>66125</v>
      </c>
      <c r="D373" s="26"/>
      <c r="E373" s="61">
        <f>E372</f>
        <v>66125</v>
      </c>
      <c r="F373" s="26"/>
      <c r="G373" s="58">
        <f>G372</f>
        <v>0</v>
      </c>
      <c r="H373" s="26"/>
      <c r="I373" s="27"/>
    </row>
    <row r="374" spans="1:9" x14ac:dyDescent="0.2">
      <c r="A374" s="33"/>
      <c r="B374" s="33"/>
      <c r="C374" s="59"/>
      <c r="D374" s="33"/>
      <c r="E374" s="59"/>
      <c r="F374" s="33"/>
      <c r="G374" s="59"/>
      <c r="H374" s="33"/>
      <c r="I374" s="33"/>
    </row>
    <row r="375" spans="1:9" x14ac:dyDescent="0.2">
      <c r="A375" s="32" t="s">
        <v>44</v>
      </c>
      <c r="B375" s="26" t="s">
        <v>11</v>
      </c>
      <c r="C375" s="58">
        <v>42322.02</v>
      </c>
      <c r="D375" s="50">
        <v>42416</v>
      </c>
      <c r="E375" s="58">
        <v>42322.02</v>
      </c>
      <c r="F375" s="26" t="s">
        <v>254</v>
      </c>
      <c r="G375" s="83"/>
      <c r="H375" s="26" t="s">
        <v>238</v>
      </c>
      <c r="I375" s="43"/>
    </row>
    <row r="376" spans="1:9" x14ac:dyDescent="0.2">
      <c r="A376" s="25" t="s">
        <v>43</v>
      </c>
      <c r="B376" s="26"/>
      <c r="C376" s="60">
        <f>C375</f>
        <v>42322.02</v>
      </c>
      <c r="D376" s="26"/>
      <c r="E376" s="60">
        <f>E375</f>
        <v>42322.02</v>
      </c>
      <c r="F376" s="26"/>
      <c r="G376" s="60">
        <f>G375</f>
        <v>0</v>
      </c>
      <c r="H376" s="26"/>
      <c r="I376" s="27"/>
    </row>
    <row r="377" spans="1:9" x14ac:dyDescent="0.2">
      <c r="A377" s="33"/>
      <c r="B377" s="33"/>
      <c r="C377" s="59"/>
      <c r="D377" s="33"/>
      <c r="E377" s="59"/>
      <c r="F377" s="33"/>
      <c r="G377" s="59"/>
      <c r="H377" s="33"/>
      <c r="I377" s="33"/>
    </row>
    <row r="378" spans="1:9" x14ac:dyDescent="0.2">
      <c r="A378" s="32" t="s">
        <v>42</v>
      </c>
      <c r="B378" s="559" t="s">
        <v>11</v>
      </c>
      <c r="C378" s="575">
        <v>17500</v>
      </c>
      <c r="D378" s="565" t="s">
        <v>141</v>
      </c>
      <c r="E378" s="151">
        <v>9491.02</v>
      </c>
      <c r="F378" s="53" t="s">
        <v>190</v>
      </c>
      <c r="G378" s="143"/>
      <c r="H378" s="559" t="s">
        <v>135</v>
      </c>
      <c r="I378" s="27" t="s">
        <v>189</v>
      </c>
    </row>
    <row r="379" spans="1:9" x14ac:dyDescent="0.2">
      <c r="A379" s="147"/>
      <c r="B379" s="560"/>
      <c r="C379" s="563"/>
      <c r="D379" s="560"/>
      <c r="E379" s="581">
        <v>7551.75</v>
      </c>
      <c r="F379" s="579" t="s">
        <v>241</v>
      </c>
      <c r="G379" s="157">
        <f>8008.98-E379</f>
        <v>457.22999999999956</v>
      </c>
      <c r="H379" s="560"/>
      <c r="I379" s="159" t="s">
        <v>98</v>
      </c>
    </row>
    <row r="380" spans="1:9" x14ac:dyDescent="0.2">
      <c r="A380" s="147"/>
      <c r="B380" s="561"/>
      <c r="C380" s="564"/>
      <c r="D380" s="561"/>
      <c r="E380" s="582"/>
      <c r="F380" s="580"/>
      <c r="G380" s="157">
        <v>-457.23</v>
      </c>
      <c r="H380" s="561"/>
      <c r="I380" s="159" t="s">
        <v>99</v>
      </c>
    </row>
    <row r="381" spans="1:9" x14ac:dyDescent="0.2">
      <c r="A381" s="147"/>
      <c r="B381" s="577" t="s">
        <v>10</v>
      </c>
      <c r="C381" s="575">
        <v>15060</v>
      </c>
      <c r="D381" s="565" t="s">
        <v>143</v>
      </c>
      <c r="E381" s="562">
        <v>14933.52</v>
      </c>
      <c r="F381" s="574" t="s">
        <v>164</v>
      </c>
      <c r="G381" s="143">
        <f>C381-E381</f>
        <v>126.47999999999956</v>
      </c>
      <c r="H381" s="559" t="s">
        <v>142</v>
      </c>
      <c r="I381" s="42" t="s">
        <v>100</v>
      </c>
    </row>
    <row r="382" spans="1:9" x14ac:dyDescent="0.2">
      <c r="A382" s="147"/>
      <c r="B382" s="578"/>
      <c r="C382" s="564"/>
      <c r="D382" s="561"/>
      <c r="E382" s="564"/>
      <c r="F382" s="561"/>
      <c r="G382" s="143">
        <v>-126.48</v>
      </c>
      <c r="H382" s="561"/>
      <c r="I382" s="42" t="s">
        <v>159</v>
      </c>
    </row>
    <row r="383" spans="1:9" x14ac:dyDescent="0.2">
      <c r="A383" s="147"/>
      <c r="B383" s="145" t="s">
        <v>11</v>
      </c>
      <c r="C383" s="143">
        <v>26700</v>
      </c>
      <c r="D383" s="53" t="s">
        <v>146</v>
      </c>
      <c r="E383" s="151">
        <v>26700</v>
      </c>
      <c r="F383" s="52" t="s">
        <v>173</v>
      </c>
      <c r="G383" s="143">
        <f>C383-E383</f>
        <v>0</v>
      </c>
      <c r="H383" s="145" t="s">
        <v>142</v>
      </c>
      <c r="I383" s="42" t="s">
        <v>100</v>
      </c>
    </row>
    <row r="384" spans="1:9" x14ac:dyDescent="0.2">
      <c r="A384" s="147"/>
      <c r="B384" s="145" t="s">
        <v>10</v>
      </c>
      <c r="C384" s="143">
        <v>8000</v>
      </c>
      <c r="D384" s="53" t="s">
        <v>148</v>
      </c>
      <c r="E384" s="151">
        <v>8000</v>
      </c>
      <c r="F384" s="148" t="s">
        <v>183</v>
      </c>
      <c r="G384" s="143">
        <f>C384-E384</f>
        <v>0</v>
      </c>
      <c r="H384" s="145" t="s">
        <v>106</v>
      </c>
      <c r="I384" s="79"/>
    </row>
    <row r="385" spans="1:9" x14ac:dyDescent="0.2">
      <c r="A385" s="137"/>
      <c r="B385" s="145" t="s">
        <v>10</v>
      </c>
      <c r="C385" s="151">
        <v>25000</v>
      </c>
      <c r="D385" s="53" t="s">
        <v>154</v>
      </c>
      <c r="E385" s="82">
        <v>11093</v>
      </c>
      <c r="F385" s="52" t="s">
        <v>195</v>
      </c>
      <c r="G385" s="143">
        <f t="shared" ref="G385:G390" si="1">C385-E385</f>
        <v>13907</v>
      </c>
      <c r="H385" s="145" t="s">
        <v>151</v>
      </c>
      <c r="I385" s="42" t="s">
        <v>134</v>
      </c>
    </row>
    <row r="386" spans="1:9" x14ac:dyDescent="0.2">
      <c r="A386" s="137"/>
      <c r="B386" s="145"/>
      <c r="C386" s="151"/>
      <c r="D386" s="53"/>
      <c r="E386" s="82"/>
      <c r="F386" s="52"/>
      <c r="G386" s="143"/>
      <c r="H386" s="145"/>
      <c r="I386" s="42"/>
    </row>
    <row r="387" spans="1:9" x14ac:dyDescent="0.2">
      <c r="A387" s="150" t="s">
        <v>113</v>
      </c>
      <c r="B387" s="145" t="s">
        <v>11</v>
      </c>
      <c r="C387" s="151">
        <v>11000</v>
      </c>
      <c r="D387" s="53" t="s">
        <v>157</v>
      </c>
      <c r="E387" s="82">
        <v>11000</v>
      </c>
      <c r="F387" s="52" t="s">
        <v>187</v>
      </c>
      <c r="G387" s="143">
        <f t="shared" si="1"/>
        <v>0</v>
      </c>
      <c r="H387" s="145" t="s">
        <v>151</v>
      </c>
      <c r="I387" s="79"/>
    </row>
    <row r="388" spans="1:9" x14ac:dyDescent="0.2">
      <c r="A388" s="150"/>
      <c r="B388" s="145" t="s">
        <v>10</v>
      </c>
      <c r="C388" s="151">
        <v>12850</v>
      </c>
      <c r="D388" s="53" t="s">
        <v>165</v>
      </c>
      <c r="E388" s="82">
        <v>12850</v>
      </c>
      <c r="F388" s="52" t="s">
        <v>180</v>
      </c>
      <c r="G388" s="143">
        <f t="shared" si="1"/>
        <v>0</v>
      </c>
      <c r="H388" s="145" t="s">
        <v>162</v>
      </c>
      <c r="I388" s="79"/>
    </row>
    <row r="389" spans="1:9" x14ac:dyDescent="0.2">
      <c r="A389" s="150"/>
      <c r="B389" s="145" t="s">
        <v>10</v>
      </c>
      <c r="C389" s="151">
        <v>18440</v>
      </c>
      <c r="D389" s="53" t="s">
        <v>168</v>
      </c>
      <c r="E389" s="82">
        <v>18440</v>
      </c>
      <c r="F389" s="52" t="s">
        <v>199</v>
      </c>
      <c r="G389" s="143">
        <f t="shared" si="1"/>
        <v>0</v>
      </c>
      <c r="H389" s="145" t="s">
        <v>163</v>
      </c>
      <c r="I389" s="42" t="s">
        <v>169</v>
      </c>
    </row>
    <row r="390" spans="1:9" x14ac:dyDescent="0.2">
      <c r="A390" s="150"/>
      <c r="B390" s="145" t="s">
        <v>11</v>
      </c>
      <c r="C390" s="151">
        <v>24272</v>
      </c>
      <c r="D390" s="53" t="s">
        <v>167</v>
      </c>
      <c r="E390" s="82">
        <v>24272</v>
      </c>
      <c r="F390" s="52" t="s">
        <v>186</v>
      </c>
      <c r="G390" s="143">
        <f t="shared" si="1"/>
        <v>0</v>
      </c>
      <c r="H390" s="145" t="s">
        <v>162</v>
      </c>
      <c r="I390" s="79"/>
    </row>
    <row r="391" spans="1:9" x14ac:dyDescent="0.2">
      <c r="A391" s="150"/>
      <c r="B391" s="158"/>
      <c r="C391" s="157"/>
      <c r="D391" s="156"/>
      <c r="E391" s="82"/>
      <c r="F391" s="52"/>
      <c r="G391" s="143"/>
      <c r="H391" s="158"/>
      <c r="I391" s="159"/>
    </row>
    <row r="392" spans="1:9" ht="13.5" thickBot="1" x14ac:dyDescent="0.25">
      <c r="A392" s="28" t="s">
        <v>43</v>
      </c>
      <c r="B392" s="29"/>
      <c r="C392" s="56">
        <f>SUM(C378:C391)</f>
        <v>158822</v>
      </c>
      <c r="D392" s="29"/>
      <c r="E392" s="56">
        <f>SUM(E378:E391)</f>
        <v>144331.29</v>
      </c>
      <c r="F392" s="54"/>
      <c r="G392" s="56">
        <f>SUM(G378:G391)</f>
        <v>13907</v>
      </c>
      <c r="H392" s="29"/>
      <c r="I392" s="30"/>
    </row>
    <row r="394" spans="1:9" x14ac:dyDescent="0.2">
      <c r="A394" s="11"/>
      <c r="B394" s="11"/>
      <c r="C394" s="11"/>
      <c r="D394" s="11"/>
      <c r="E394" s="11"/>
      <c r="F394" s="11"/>
      <c r="G394" s="11"/>
      <c r="H394" s="11"/>
      <c r="I394" s="11"/>
    </row>
  </sheetData>
  <mergeCells count="73">
    <mergeCell ref="A1:I1"/>
    <mergeCell ref="A140:I140"/>
    <mergeCell ref="E145:I145"/>
    <mergeCell ref="F59:F60"/>
    <mergeCell ref="F55:F58"/>
    <mergeCell ref="A73:I73"/>
    <mergeCell ref="A106:I106"/>
    <mergeCell ref="E111:I111"/>
    <mergeCell ref="D55:D57"/>
    <mergeCell ref="D59:D60"/>
    <mergeCell ref="A37:I37"/>
    <mergeCell ref="A175:I175"/>
    <mergeCell ref="E180:I180"/>
    <mergeCell ref="A212:I212"/>
    <mergeCell ref="E217:I217"/>
    <mergeCell ref="E252:I252"/>
    <mergeCell ref="A247:I247"/>
    <mergeCell ref="D348:D349"/>
    <mergeCell ref="C338:C339"/>
    <mergeCell ref="D338:D339"/>
    <mergeCell ref="E338:E339"/>
    <mergeCell ref="F309:F310"/>
    <mergeCell ref="A320:I320"/>
    <mergeCell ref="E325:I325"/>
    <mergeCell ref="F338:F339"/>
    <mergeCell ref="F348:F349"/>
    <mergeCell ref="C340:C341"/>
    <mergeCell ref="E340:E341"/>
    <mergeCell ref="C348:C349"/>
    <mergeCell ref="F343:F344"/>
    <mergeCell ref="H343:H344"/>
    <mergeCell ref="B343:B344"/>
    <mergeCell ref="B381:B382"/>
    <mergeCell ref="C381:C382"/>
    <mergeCell ref="D381:D382"/>
    <mergeCell ref="F379:F380"/>
    <mergeCell ref="H378:H380"/>
    <mergeCell ref="D378:D380"/>
    <mergeCell ref="E379:E380"/>
    <mergeCell ref="B378:B380"/>
    <mergeCell ref="E381:E382"/>
    <mergeCell ref="F381:F382"/>
    <mergeCell ref="H381:H382"/>
    <mergeCell ref="C378:C380"/>
    <mergeCell ref="E366:I366"/>
    <mergeCell ref="F340:F341"/>
    <mergeCell ref="I348:I349"/>
    <mergeCell ref="H348:H349"/>
    <mergeCell ref="E348:E349"/>
    <mergeCell ref="E343:E344"/>
    <mergeCell ref="E352:E353"/>
    <mergeCell ref="F352:F353"/>
    <mergeCell ref="H352:H353"/>
    <mergeCell ref="A361:I361"/>
    <mergeCell ref="B348:B349"/>
    <mergeCell ref="B340:B341"/>
    <mergeCell ref="C343:C344"/>
    <mergeCell ref="D343:D344"/>
    <mergeCell ref="H340:H341"/>
    <mergeCell ref="D340:D341"/>
    <mergeCell ref="B297:B298"/>
    <mergeCell ref="H270:H271"/>
    <mergeCell ref="A279:I279"/>
    <mergeCell ref="E284:I284"/>
    <mergeCell ref="H338:H339"/>
    <mergeCell ref="H297:H298"/>
    <mergeCell ref="F297:F298"/>
    <mergeCell ref="H301:H303"/>
    <mergeCell ref="B301:B303"/>
    <mergeCell ref="F302:F303"/>
    <mergeCell ref="C301:C303"/>
    <mergeCell ref="D301:D303"/>
    <mergeCell ref="E302:E303"/>
  </mergeCells>
  <phoneticPr fontId="7" type="noConversion"/>
  <hyperlinks>
    <hyperlink ref="C51" r:id="rId1" display="https://apps.puc.state.or.us/orders/2024ords/24-124.pdf" xr:uid="{568F393E-5299-4300-B4FE-40081B1B9DE3}"/>
    <hyperlink ref="F59:F60" r:id="rId2" display="24-341" xr:uid="{BC5B9EA6-0FD0-4FD8-8ADB-2F9E21D0617C}"/>
    <hyperlink ref="F55:F58" r:id="rId3" display="24-345" xr:uid="{AE5324E1-9813-4A6E-BD86-1837F8E05CC6}"/>
    <hyperlink ref="F52" r:id="rId4" xr:uid="{C41BF994-7050-4CE5-8B67-53FEDDC16E4A}"/>
    <hyperlink ref="F97" r:id="rId5" xr:uid="{C1CA6078-9201-4223-917A-28AA67D0C4D6}"/>
    <hyperlink ref="G170" r:id="rId6" xr:uid="{CE27BFA6-4EA8-4D67-BE8D-C8A0925E94E5}"/>
    <hyperlink ref="F12" r:id="rId7" xr:uid="{A9AA1A19-B9A7-499C-A408-2F0B5FFA937C}"/>
    <hyperlink ref="G15" r:id="rId8" xr:uid="{F45037B7-516B-46F9-A24D-DF29691AF262}"/>
    <hyperlink ref="D19" r:id="rId9" xr:uid="{CB368BFF-77B9-4720-8EB8-15E24AA4E062}"/>
    <hyperlink ref="D20" r:id="rId10" xr:uid="{F4D54BB6-7A23-414C-81C2-DCD49B4FD587}"/>
    <hyperlink ref="D22" r:id="rId11" xr:uid="{37E21223-3537-4F07-B0EA-B2950FCF6539}"/>
    <hyperlink ref="D24" r:id="rId12" display="25-252" xr:uid="{58E26213-3E10-4EAA-8DD6-E755A3A61CDD}"/>
    <hyperlink ref="D23" r:id="rId13" xr:uid="{46CF8F79-8A91-45F2-B113-D867F90F57B5}"/>
    <hyperlink ref="F22" r:id="rId14" xr:uid="{6CFF7933-3E69-4CE1-8F21-1C3981C30BA1}"/>
    <hyperlink ref="D25" r:id="rId15" xr:uid="{0B9B0569-8B4C-4486-A820-E970D8F3668A}"/>
    <hyperlink ref="F19" r:id="rId16" xr:uid="{7A581D57-F5E3-4DD5-B27F-4512B614AD53}"/>
  </hyperlinks>
  <pageMargins left="0.69" right="0.28999999999999998" top="0.48" bottom="0.44" header="0.5" footer="0.5"/>
  <pageSetup scale="68" orientation="landscape" r:id="rId17"/>
  <headerFooter alignWithMargins="0">
    <oddFooter>&amp;CCurrent as of &amp;D</oddFooter>
  </headerFooter>
  <rowBreaks count="4" manualBreakCount="4">
    <brk id="245" max="16383" man="1"/>
    <brk id="278" max="16383" man="1"/>
    <brk id="318" max="16383" man="1"/>
    <brk id="359" max="16383" man="1"/>
  </rowBreaks>
  <drawing r:id="rId18"/>
  <legacyDrawing r:id="rId1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37"/>
  <sheetViews>
    <sheetView showGridLines="0" zoomScaleNormal="100" zoomScaleSheetLayoutView="75" workbookViewId="0">
      <selection activeCell="F18" sqref="F18"/>
    </sheetView>
  </sheetViews>
  <sheetFormatPr defaultRowHeight="12.75" x14ac:dyDescent="0.2"/>
  <cols>
    <col min="1" max="1" width="22.28515625" bestFit="1" customWidth="1"/>
    <col min="2" max="3" width="17" customWidth="1"/>
    <col min="4" max="4" width="18.85546875" bestFit="1" customWidth="1"/>
    <col min="5" max="5" width="17.7109375" bestFit="1" customWidth="1"/>
    <col min="6" max="6" width="15.85546875" customWidth="1"/>
    <col min="7" max="7" width="14.28515625" customWidth="1"/>
    <col min="8" max="8" width="12.7109375" customWidth="1"/>
    <col min="9" max="9" width="32.7109375" customWidth="1"/>
    <col min="10" max="10" width="23" customWidth="1"/>
  </cols>
  <sheetData>
    <row r="1" spans="1:9" ht="13.5" thickBot="1" x14ac:dyDescent="0.25"/>
    <row r="2" spans="1:9" ht="21" thickBot="1" x14ac:dyDescent="0.25">
      <c r="A2" s="550" t="s">
        <v>1234</v>
      </c>
      <c r="B2" s="551"/>
      <c r="C2" s="551"/>
      <c r="D2" s="551"/>
      <c r="E2" s="551"/>
      <c r="F2" s="551"/>
      <c r="G2" s="551"/>
      <c r="H2" s="551"/>
      <c r="I2" s="552"/>
    </row>
    <row r="3" spans="1:9" ht="20.25" x14ac:dyDescent="0.3">
      <c r="A3" s="39"/>
      <c r="B3" s="13" t="s">
        <v>1245</v>
      </c>
      <c r="C3" s="13" t="s">
        <v>1246</v>
      </c>
      <c r="D3" s="13" t="s">
        <v>1247</v>
      </c>
      <c r="E3" s="13" t="s">
        <v>1248</v>
      </c>
      <c r="F3" s="14"/>
      <c r="G3" s="13"/>
      <c r="H3" s="13"/>
      <c r="I3" s="37"/>
    </row>
    <row r="4" spans="1:9" x14ac:dyDescent="0.2">
      <c r="A4" s="39" t="s">
        <v>991</v>
      </c>
      <c r="B4" s="207">
        <f>B38+(B38*0.03)</f>
        <v>123376.3046</v>
      </c>
      <c r="C4" s="207">
        <v>81868</v>
      </c>
      <c r="D4" s="207">
        <f>D38+(D38*0.03)</f>
        <v>175380.56170000002</v>
      </c>
      <c r="E4" s="207">
        <v>10000</v>
      </c>
      <c r="F4" s="146" t="s">
        <v>972</v>
      </c>
      <c r="G4" s="13"/>
      <c r="H4" s="13"/>
      <c r="I4" s="155" t="s">
        <v>973</v>
      </c>
    </row>
    <row r="5" spans="1:9" ht="20.25" x14ac:dyDescent="0.3">
      <c r="A5" s="39" t="s">
        <v>36</v>
      </c>
      <c r="B5" s="18">
        <f>IF(OR(B43&gt;=B4,B43&lt;B4),B43,B4)</f>
        <v>0</v>
      </c>
      <c r="C5" s="18">
        <f>IF(OR(C43&gt;=C4,C43&lt;C4),C4,C43)</f>
        <v>81868</v>
      </c>
      <c r="D5" s="18">
        <f>IF(OR(D43&gt;=D4,D43&lt;D4),D43,D4)</f>
        <v>56601.390000000014</v>
      </c>
      <c r="E5" s="18"/>
      <c r="F5" s="14"/>
      <c r="G5" s="13"/>
      <c r="H5" s="13"/>
      <c r="I5" s="37"/>
    </row>
    <row r="6" spans="1:9" x14ac:dyDescent="0.2">
      <c r="A6" s="39" t="s">
        <v>992</v>
      </c>
      <c r="B6" s="18">
        <f>SUM(B4:B5)</f>
        <v>123376.3046</v>
      </c>
      <c r="C6" s="18">
        <f>SUM(C4:C5)</f>
        <v>163736</v>
      </c>
      <c r="D6" s="18">
        <f>SUM(D4:D5)</f>
        <v>231981.95170000003</v>
      </c>
      <c r="E6" s="18">
        <f>SUM(E4:E5)</f>
        <v>10000</v>
      </c>
      <c r="F6" s="125" t="s">
        <v>107</v>
      </c>
      <c r="G6" s="13"/>
      <c r="H6" s="13"/>
      <c r="I6" s="37"/>
    </row>
    <row r="7" spans="1:9" ht="20.25" x14ac:dyDescent="0.3">
      <c r="A7" s="39" t="s">
        <v>47</v>
      </c>
      <c r="B7" s="18">
        <f>IF(OR(B44&gt;+B4,B44&lt;B4),B44,B4)</f>
        <v>0</v>
      </c>
      <c r="C7" s="18">
        <f>IF(OR(C44&gt;+C4,C44&lt;C4),C4,C44)</f>
        <v>81868</v>
      </c>
      <c r="D7" s="18">
        <f>IF(OR(D44&gt;+D4,D44&lt;D4),D44,D4)</f>
        <v>51316.990000000013</v>
      </c>
      <c r="E7" s="18"/>
      <c r="F7" s="14"/>
      <c r="G7" s="13"/>
      <c r="H7" s="13"/>
      <c r="I7" s="37"/>
    </row>
    <row r="8" spans="1:9" x14ac:dyDescent="0.2">
      <c r="A8" s="39" t="s">
        <v>479</v>
      </c>
      <c r="B8" s="18">
        <f>B6+B7</f>
        <v>123376.3046</v>
      </c>
      <c r="C8" s="18">
        <f>C7+C4</f>
        <v>163736</v>
      </c>
      <c r="D8" s="18">
        <f>D7+D4</f>
        <v>226697.55170000004</v>
      </c>
      <c r="E8" s="18">
        <f>E7+E4</f>
        <v>10000</v>
      </c>
      <c r="F8" s="146" t="s">
        <v>108</v>
      </c>
      <c r="G8" s="13"/>
      <c r="H8" s="13"/>
      <c r="I8" s="37"/>
    </row>
    <row r="9" spans="1:9" x14ac:dyDescent="0.2">
      <c r="A9" s="39" t="s">
        <v>39</v>
      </c>
      <c r="B9" s="18">
        <f>B6-E14</f>
        <v>0</v>
      </c>
      <c r="C9" s="18">
        <f>C6-E18</f>
        <v>159063.37</v>
      </c>
      <c r="D9" s="18">
        <f>D6-F28</f>
        <v>28781.951700000034</v>
      </c>
      <c r="E9" s="18">
        <f>E6-F34</f>
        <v>10000</v>
      </c>
      <c r="F9" s="146" t="s">
        <v>109</v>
      </c>
      <c r="G9" s="13"/>
      <c r="H9" s="13"/>
      <c r="I9" s="37"/>
    </row>
    <row r="10" spans="1:9" x14ac:dyDescent="0.2">
      <c r="A10" s="39" t="s">
        <v>132</v>
      </c>
      <c r="B10" s="38">
        <f>B8-E14-F14</f>
        <v>0</v>
      </c>
      <c r="C10" s="38">
        <f>C8-E18-F18</f>
        <v>159063.37</v>
      </c>
      <c r="D10" s="44">
        <f>D8-E28-F28</f>
        <v>23497.55170000004</v>
      </c>
      <c r="E10" s="44">
        <f>E8-E34-F34</f>
        <v>10000</v>
      </c>
      <c r="F10" s="146" t="s">
        <v>110</v>
      </c>
      <c r="G10" s="140"/>
      <c r="H10" s="140"/>
      <c r="I10" s="140"/>
    </row>
    <row r="11" spans="1:9" ht="21" thickBot="1" x14ac:dyDescent="0.35">
      <c r="A11" s="39"/>
      <c r="B11" s="13"/>
      <c r="C11" s="13"/>
      <c r="D11" s="13"/>
      <c r="E11" s="14"/>
      <c r="F11" s="14"/>
      <c r="G11" s="13"/>
      <c r="H11" s="13"/>
      <c r="I11" s="37"/>
    </row>
    <row r="12" spans="1:9" ht="25.5" x14ac:dyDescent="0.2">
      <c r="A12" s="19" t="s">
        <v>41</v>
      </c>
      <c r="B12" s="20" t="s">
        <v>34</v>
      </c>
      <c r="C12" s="20" t="s">
        <v>64</v>
      </c>
      <c r="D12" s="20" t="s">
        <v>63</v>
      </c>
      <c r="E12" s="20" t="s">
        <v>37</v>
      </c>
      <c r="F12" s="20" t="s">
        <v>48</v>
      </c>
      <c r="G12" s="20" t="s">
        <v>40</v>
      </c>
      <c r="H12" s="20" t="s">
        <v>38</v>
      </c>
      <c r="I12" s="21" t="s">
        <v>5</v>
      </c>
    </row>
    <row r="13" spans="1:9" x14ac:dyDescent="0.2">
      <c r="A13" s="22" t="s">
        <v>10</v>
      </c>
      <c r="B13" s="23" t="s">
        <v>10</v>
      </c>
      <c r="C13" s="57">
        <v>123376.3046</v>
      </c>
      <c r="D13" s="50"/>
      <c r="E13" s="57">
        <v>123376.3046</v>
      </c>
      <c r="G13" s="485" t="s">
        <v>1242</v>
      </c>
      <c r="H13" s="23"/>
      <c r="I13" s="24"/>
    </row>
    <row r="14" spans="1:9" x14ac:dyDescent="0.2">
      <c r="A14" s="25" t="s">
        <v>43</v>
      </c>
      <c r="B14" s="26"/>
      <c r="C14" s="61">
        <f>C13</f>
        <v>123376.3046</v>
      </c>
      <c r="D14" s="26"/>
      <c r="E14" s="265">
        <f>E13</f>
        <v>123376.3046</v>
      </c>
      <c r="F14" s="268"/>
      <c r="G14" s="288"/>
      <c r="H14" s="26"/>
      <c r="I14" s="27"/>
    </row>
    <row r="15" spans="1:9" x14ac:dyDescent="0.2">
      <c r="A15" s="33"/>
      <c r="B15" s="33"/>
      <c r="C15" s="59"/>
      <c r="D15" s="33"/>
      <c r="E15" s="59"/>
      <c r="F15" s="267"/>
      <c r="G15" s="33"/>
      <c r="H15" s="33"/>
      <c r="I15" s="33"/>
    </row>
    <row r="16" spans="1:9" x14ac:dyDescent="0.2">
      <c r="A16" s="25" t="s">
        <v>44</v>
      </c>
      <c r="B16" s="26"/>
      <c r="C16" s="58"/>
      <c r="D16" s="488" t="s">
        <v>1257</v>
      </c>
      <c r="E16" s="58">
        <v>4672.63</v>
      </c>
      <c r="F16" s="58"/>
      <c r="G16" s="460"/>
      <c r="H16" s="26"/>
      <c r="I16" s="80"/>
    </row>
    <row r="17" spans="1:9" x14ac:dyDescent="0.2">
      <c r="A17" s="25"/>
      <c r="B17" s="26"/>
      <c r="C17" s="58"/>
      <c r="D17" s="51"/>
      <c r="E17" s="58"/>
      <c r="F17" s="58"/>
      <c r="G17" s="26"/>
      <c r="H17" s="26"/>
      <c r="I17" s="27"/>
    </row>
    <row r="18" spans="1:9" x14ac:dyDescent="0.2">
      <c r="A18" s="25" t="s">
        <v>43</v>
      </c>
      <c r="B18" s="26"/>
      <c r="C18" s="60">
        <f>C16+C17</f>
        <v>0</v>
      </c>
      <c r="D18" s="26"/>
      <c r="E18" s="60">
        <f>E16+E17</f>
        <v>4672.63</v>
      </c>
      <c r="F18" s="60">
        <f>SUM(F16:F17)</f>
        <v>0</v>
      </c>
      <c r="G18" s="26"/>
      <c r="H18" s="26"/>
      <c r="I18" s="27"/>
    </row>
    <row r="19" spans="1:9" x14ac:dyDescent="0.2">
      <c r="A19" s="33"/>
      <c r="B19" s="33"/>
      <c r="C19" s="59"/>
      <c r="D19" s="33"/>
      <c r="E19" s="318"/>
      <c r="F19" s="59"/>
      <c r="G19" s="33"/>
      <c r="H19" s="33"/>
      <c r="I19" s="33"/>
    </row>
    <row r="20" spans="1:9" x14ac:dyDescent="0.2">
      <c r="A20" s="25" t="s">
        <v>42</v>
      </c>
      <c r="B20" s="135" t="s">
        <v>10</v>
      </c>
      <c r="C20" s="142">
        <v>90000</v>
      </c>
      <c r="D20" s="487" t="s">
        <v>1256</v>
      </c>
      <c r="E20" s="53"/>
      <c r="F20" s="142">
        <v>90000</v>
      </c>
      <c r="G20" s="135"/>
      <c r="H20" s="26"/>
      <c r="I20" s="43"/>
    </row>
    <row r="21" spans="1:9" x14ac:dyDescent="0.2">
      <c r="A21" s="150"/>
      <c r="B21" s="145" t="s">
        <v>532</v>
      </c>
      <c r="C21" s="151">
        <v>100000</v>
      </c>
      <c r="D21" s="466" t="s">
        <v>1255</v>
      </c>
      <c r="E21" s="571"/>
      <c r="F21" s="151">
        <v>100000</v>
      </c>
      <c r="G21" s="595"/>
      <c r="H21" s="145"/>
      <c r="I21" s="92"/>
    </row>
    <row r="22" spans="1:9" x14ac:dyDescent="0.2">
      <c r="A22" s="150"/>
      <c r="B22" s="145" t="s">
        <v>532</v>
      </c>
      <c r="C22" s="151">
        <v>13200</v>
      </c>
      <c r="D22" s="466" t="s">
        <v>1253</v>
      </c>
      <c r="E22" s="594"/>
      <c r="F22" s="151">
        <v>13200</v>
      </c>
      <c r="G22" s="596"/>
      <c r="H22" s="145"/>
      <c r="I22" s="92"/>
    </row>
    <row r="23" spans="1:9" x14ac:dyDescent="0.2">
      <c r="A23" s="150"/>
      <c r="B23" s="145"/>
      <c r="C23" s="151"/>
      <c r="D23" s="53"/>
      <c r="E23" s="151"/>
      <c r="F23" s="151"/>
      <c r="G23" s="459"/>
      <c r="H23" s="145"/>
      <c r="I23" s="92"/>
    </row>
    <row r="24" spans="1:9" x14ac:dyDescent="0.2">
      <c r="A24" s="150"/>
      <c r="B24" s="145"/>
      <c r="C24" s="151"/>
      <c r="D24" s="53"/>
      <c r="E24" s="451"/>
      <c r="F24" s="151"/>
      <c r="G24" s="559"/>
      <c r="H24" s="559"/>
      <c r="I24" s="92"/>
    </row>
    <row r="25" spans="1:9" x14ac:dyDescent="0.2">
      <c r="A25" s="150"/>
      <c r="B25" s="145"/>
      <c r="C25" s="151"/>
      <c r="D25" s="53"/>
      <c r="E25" s="151"/>
      <c r="F25" s="151"/>
      <c r="G25" s="561"/>
      <c r="H25" s="561"/>
      <c r="I25" s="42"/>
    </row>
    <row r="26" spans="1:9" x14ac:dyDescent="0.2">
      <c r="A26" s="150"/>
      <c r="B26" s="145"/>
      <c r="C26" s="151"/>
      <c r="D26" s="53"/>
      <c r="E26" s="151"/>
      <c r="F26" s="151"/>
      <c r="G26" s="135"/>
      <c r="H26" s="145"/>
      <c r="I26" s="92"/>
    </row>
    <row r="27" spans="1:9" x14ac:dyDescent="0.2">
      <c r="A27" s="150"/>
      <c r="B27" s="145"/>
      <c r="C27" s="151"/>
      <c r="D27" s="53"/>
      <c r="E27" s="151"/>
      <c r="F27" s="151"/>
      <c r="G27" s="135"/>
      <c r="H27" s="145"/>
      <c r="I27" s="92"/>
    </row>
    <row r="28" spans="1:9" x14ac:dyDescent="0.2">
      <c r="A28" s="150" t="s">
        <v>43</v>
      </c>
      <c r="B28" s="145"/>
      <c r="C28" s="315">
        <f>SUM(C20:C27)</f>
        <v>203200</v>
      </c>
      <c r="D28" s="53"/>
      <c r="E28" s="315">
        <f>SUM(E20:E27)</f>
        <v>0</v>
      </c>
      <c r="F28" s="315">
        <f>SUM(F20:F27)</f>
        <v>203200</v>
      </c>
      <c r="G28" s="135"/>
      <c r="H28" s="145"/>
      <c r="I28" s="92"/>
    </row>
    <row r="29" spans="1:9" x14ac:dyDescent="0.2">
      <c r="A29" s="319"/>
      <c r="B29" s="304"/>
      <c r="C29" s="320"/>
      <c r="D29" s="305"/>
      <c r="E29" s="320"/>
      <c r="F29" s="320"/>
      <c r="G29" s="321"/>
      <c r="H29" s="304"/>
      <c r="I29" s="322"/>
    </row>
    <row r="30" spans="1:9" x14ac:dyDescent="0.2">
      <c r="A30" s="150" t="s">
        <v>975</v>
      </c>
      <c r="B30" s="145"/>
      <c r="C30" s="151"/>
      <c r="D30" s="53"/>
      <c r="E30" s="151"/>
      <c r="F30" s="151"/>
      <c r="G30" s="135"/>
      <c r="H30" s="145"/>
      <c r="I30" s="92"/>
    </row>
    <row r="31" spans="1:9" x14ac:dyDescent="0.2">
      <c r="A31" s="150"/>
      <c r="B31" s="145"/>
      <c r="C31" s="151"/>
      <c r="D31" s="53"/>
      <c r="E31" s="151"/>
      <c r="F31" s="151"/>
      <c r="G31" s="135"/>
      <c r="H31" s="145"/>
      <c r="I31" s="92"/>
    </row>
    <row r="32" spans="1:9" x14ac:dyDescent="0.2">
      <c r="A32" s="150"/>
      <c r="B32" s="145"/>
      <c r="C32" s="151"/>
      <c r="D32" s="53"/>
      <c r="E32" s="151"/>
      <c r="F32" s="151"/>
      <c r="G32" s="135"/>
      <c r="H32" s="145"/>
      <c r="I32" s="92"/>
    </row>
    <row r="33" spans="1:9" x14ac:dyDescent="0.2">
      <c r="A33" s="150"/>
      <c r="B33" s="145"/>
      <c r="C33" s="151"/>
      <c r="D33" s="53"/>
      <c r="E33" s="151"/>
      <c r="F33" s="151"/>
      <c r="G33" s="135"/>
      <c r="H33" s="145"/>
      <c r="I33" s="92"/>
    </row>
    <row r="34" spans="1:9" ht="13.5" thickBot="1" x14ac:dyDescent="0.25">
      <c r="A34" s="28" t="s">
        <v>43</v>
      </c>
      <c r="B34" s="29"/>
      <c r="C34" s="56">
        <f>SUM(C31:C33)</f>
        <v>0</v>
      </c>
      <c r="D34" s="29"/>
      <c r="E34" s="56">
        <f>SUM(E31:E33)</f>
        <v>0</v>
      </c>
      <c r="F34" s="56">
        <f>SUM(F31:F33)</f>
        <v>0</v>
      </c>
      <c r="G34" s="29"/>
      <c r="H34" s="29"/>
      <c r="I34" s="30"/>
    </row>
    <row r="35" spans="1:9" ht="13.5" thickBot="1" x14ac:dyDescent="0.25"/>
    <row r="36" spans="1:9" ht="21" thickBot="1" x14ac:dyDescent="0.25">
      <c r="A36" s="550" t="s">
        <v>1143</v>
      </c>
      <c r="B36" s="551"/>
      <c r="C36" s="551"/>
      <c r="D36" s="551"/>
      <c r="E36" s="551"/>
      <c r="F36" s="551"/>
      <c r="G36" s="551"/>
      <c r="H36" s="551"/>
      <c r="I36" s="552"/>
    </row>
    <row r="37" spans="1:9" ht="20.25" x14ac:dyDescent="0.3">
      <c r="A37" s="39"/>
      <c r="B37" s="13" t="s">
        <v>1138</v>
      </c>
      <c r="C37" s="13" t="s">
        <v>1139</v>
      </c>
      <c r="D37" s="13" t="s">
        <v>1140</v>
      </c>
      <c r="E37" s="13" t="s">
        <v>1141</v>
      </c>
      <c r="F37" s="14"/>
      <c r="G37" s="13"/>
      <c r="H37" s="13"/>
      <c r="I37" s="37"/>
    </row>
    <row r="38" spans="1:9" x14ac:dyDescent="0.2">
      <c r="A38" s="39" t="s">
        <v>991</v>
      </c>
      <c r="B38" s="207">
        <f>B72+(B72*0.03)</f>
        <v>119782.82</v>
      </c>
      <c r="C38" s="207">
        <v>81868</v>
      </c>
      <c r="D38" s="207">
        <f>D72+(D72*0.03)</f>
        <v>170272.39</v>
      </c>
      <c r="E38" s="207">
        <v>10000</v>
      </c>
      <c r="F38" s="146" t="s">
        <v>972</v>
      </c>
      <c r="G38" s="13"/>
      <c r="H38" s="13"/>
      <c r="I38" s="155" t="s">
        <v>973</v>
      </c>
    </row>
    <row r="39" spans="1:9" ht="20.25" x14ac:dyDescent="0.3">
      <c r="A39" s="39" t="s">
        <v>36</v>
      </c>
      <c r="B39" s="18">
        <f>IF(OR(B77&gt;=B38,B77&lt;B38),B77,B38)</f>
        <v>0</v>
      </c>
      <c r="C39" s="18">
        <f>IF(OR(C77&gt;=C38,C77&lt;C38),C38,C77)</f>
        <v>81868</v>
      </c>
      <c r="D39" s="18">
        <f>IF(OR(D77&gt;=D38,D77&lt;D38),D77,D38)</f>
        <v>132329</v>
      </c>
      <c r="E39" s="18">
        <v>0</v>
      </c>
      <c r="F39" s="14"/>
      <c r="G39" s="13"/>
      <c r="H39" s="13"/>
      <c r="I39" s="37"/>
    </row>
    <row r="40" spans="1:9" x14ac:dyDescent="0.2">
      <c r="A40" s="39" t="s">
        <v>992</v>
      </c>
      <c r="B40" s="18">
        <f>SUM(B38:B39)</f>
        <v>119782.82</v>
      </c>
      <c r="C40" s="18">
        <f>SUM(C38:C39)</f>
        <v>163736</v>
      </c>
      <c r="D40" s="18">
        <f>SUM(D38:D39)</f>
        <v>302601.39</v>
      </c>
      <c r="E40" s="18">
        <f>SUM(E38:E39)</f>
        <v>10000</v>
      </c>
      <c r="F40" s="125" t="s">
        <v>107</v>
      </c>
      <c r="G40" s="13"/>
      <c r="H40" s="13"/>
      <c r="I40" s="37"/>
    </row>
    <row r="41" spans="1:9" ht="20.25" x14ac:dyDescent="0.3">
      <c r="A41" s="39" t="s">
        <v>47</v>
      </c>
      <c r="B41" s="18">
        <f>IF(OR(B78&gt;+B38,B78&lt;B38),B78,B38)</f>
        <v>0</v>
      </c>
      <c r="C41" s="18">
        <f>IF(OR(C78&gt;+C38,C78&lt;C38),C38,C78)</f>
        <v>81868</v>
      </c>
      <c r="D41" s="18">
        <f>IF(OR(D78&gt;+D38,D78&lt;D38),D78,D38)</f>
        <v>132329</v>
      </c>
      <c r="E41" s="18">
        <v>0</v>
      </c>
      <c r="F41" s="14"/>
      <c r="G41" s="13"/>
      <c r="H41" s="13"/>
      <c r="I41" s="37"/>
    </row>
    <row r="42" spans="1:9" x14ac:dyDescent="0.2">
      <c r="A42" s="39" t="s">
        <v>479</v>
      </c>
      <c r="B42" s="18">
        <f>B40+B41</f>
        <v>119782.82</v>
      </c>
      <c r="C42" s="18">
        <f>C41+C38</f>
        <v>163736</v>
      </c>
      <c r="D42" s="18">
        <f>D41+D38</f>
        <v>302601.39</v>
      </c>
      <c r="E42" s="18">
        <f>E41+E38</f>
        <v>10000</v>
      </c>
      <c r="F42" s="146" t="s">
        <v>108</v>
      </c>
      <c r="G42" s="13"/>
      <c r="H42" s="13"/>
      <c r="I42" s="37"/>
    </row>
    <row r="43" spans="1:9" x14ac:dyDescent="0.2">
      <c r="A43" s="39" t="s">
        <v>39</v>
      </c>
      <c r="B43" s="18">
        <f>B40-E48</f>
        <v>0</v>
      </c>
      <c r="C43" s="18">
        <f>C40-E52</f>
        <v>155515.45000000001</v>
      </c>
      <c r="D43" s="18">
        <f>D40-E62</f>
        <v>56601.390000000014</v>
      </c>
      <c r="E43" s="18">
        <f>E40-E68</f>
        <v>10000</v>
      </c>
      <c r="F43" s="146" t="s">
        <v>109</v>
      </c>
      <c r="G43" s="13"/>
      <c r="H43" s="13"/>
      <c r="I43" s="37"/>
    </row>
    <row r="44" spans="1:9" x14ac:dyDescent="0.2">
      <c r="A44" s="39" t="s">
        <v>132</v>
      </c>
      <c r="B44" s="38">
        <f>B42-E48-F48</f>
        <v>0</v>
      </c>
      <c r="C44" s="38">
        <f>C42-E52-F52</f>
        <v>155515.45000000001</v>
      </c>
      <c r="D44" s="44">
        <f>D42-E62-F62</f>
        <v>51316.990000000013</v>
      </c>
      <c r="E44" s="44">
        <f>E42-E68-F68</f>
        <v>10000</v>
      </c>
      <c r="F44" s="146" t="s">
        <v>110</v>
      </c>
      <c r="G44" s="140"/>
      <c r="H44" s="140"/>
      <c r="I44" s="140"/>
    </row>
    <row r="45" spans="1:9" ht="21" thickBot="1" x14ac:dyDescent="0.35">
      <c r="A45" s="39"/>
      <c r="B45" s="13"/>
      <c r="C45" s="13"/>
      <c r="D45" s="13"/>
      <c r="E45" s="14"/>
      <c r="F45" s="14"/>
      <c r="G45" s="13"/>
      <c r="H45" s="13"/>
      <c r="I45" s="37"/>
    </row>
    <row r="46" spans="1:9" ht="25.5" x14ac:dyDescent="0.2">
      <c r="A46" s="19" t="s">
        <v>41</v>
      </c>
      <c r="B46" s="20" t="s">
        <v>34</v>
      </c>
      <c r="C46" s="20" t="s">
        <v>64</v>
      </c>
      <c r="D46" s="20" t="s">
        <v>63</v>
      </c>
      <c r="E46" s="20" t="s">
        <v>37</v>
      </c>
      <c r="F46" s="20" t="s">
        <v>48</v>
      </c>
      <c r="G46" s="20" t="s">
        <v>40</v>
      </c>
      <c r="H46" s="20" t="s">
        <v>38</v>
      </c>
      <c r="I46" s="21" t="s">
        <v>5</v>
      </c>
    </row>
    <row r="47" spans="1:9" x14ac:dyDescent="0.2">
      <c r="A47" s="22" t="s">
        <v>10</v>
      </c>
      <c r="B47" s="23" t="s">
        <v>10</v>
      </c>
      <c r="C47" s="57">
        <v>119782.82</v>
      </c>
      <c r="D47" s="50">
        <v>45299</v>
      </c>
      <c r="E47" s="57">
        <v>119782.82</v>
      </c>
      <c r="G47" s="287" t="s">
        <v>1155</v>
      </c>
      <c r="H47" s="23" t="s">
        <v>974</v>
      </c>
      <c r="I47" s="24"/>
    </row>
    <row r="48" spans="1:9" x14ac:dyDescent="0.2">
      <c r="A48" s="25" t="s">
        <v>43</v>
      </c>
      <c r="B48" s="26"/>
      <c r="C48" s="61">
        <f>C47</f>
        <v>119782.82</v>
      </c>
      <c r="D48" s="26"/>
      <c r="E48" s="265">
        <f>E47</f>
        <v>119782.82</v>
      </c>
      <c r="F48" s="268"/>
      <c r="G48" s="288"/>
      <c r="H48" s="26"/>
      <c r="I48" s="27"/>
    </row>
    <row r="49" spans="1:9" x14ac:dyDescent="0.2">
      <c r="A49" s="33"/>
      <c r="B49" s="33"/>
      <c r="C49" s="59"/>
      <c r="D49" s="33"/>
      <c r="E49" s="59"/>
      <c r="F49" s="267"/>
      <c r="G49" s="33"/>
      <c r="H49" s="33"/>
      <c r="I49" s="33"/>
    </row>
    <row r="50" spans="1:9" x14ac:dyDescent="0.2">
      <c r="A50" s="25" t="s">
        <v>44</v>
      </c>
      <c r="B50" s="26"/>
      <c r="C50" s="58">
        <v>8220.5499999999993</v>
      </c>
      <c r="D50" s="55"/>
      <c r="E50" s="58">
        <v>8220.5499999999993</v>
      </c>
      <c r="F50" s="58"/>
      <c r="G50" s="460" t="s">
        <v>1216</v>
      </c>
      <c r="H50" s="26"/>
      <c r="I50" s="80"/>
    </row>
    <row r="51" spans="1:9" x14ac:dyDescent="0.2">
      <c r="A51" s="25"/>
      <c r="B51" s="26"/>
      <c r="C51" s="58"/>
      <c r="D51" s="51"/>
      <c r="E51" s="58"/>
      <c r="F51" s="58"/>
      <c r="G51" s="26"/>
      <c r="H51" s="26" t="s">
        <v>974</v>
      </c>
      <c r="I51" s="27"/>
    </row>
    <row r="52" spans="1:9" x14ac:dyDescent="0.2">
      <c r="A52" s="25" t="s">
        <v>43</v>
      </c>
      <c r="B52" s="26"/>
      <c r="C52" s="60">
        <f>C50+C51</f>
        <v>8220.5499999999993</v>
      </c>
      <c r="D52" s="26"/>
      <c r="E52" s="60">
        <f>E50+E51</f>
        <v>8220.5499999999993</v>
      </c>
      <c r="F52" s="60">
        <f>SUM(F50:F51)</f>
        <v>0</v>
      </c>
      <c r="G52" s="26"/>
      <c r="H52" s="26"/>
      <c r="I52" s="27"/>
    </row>
    <row r="53" spans="1:9" x14ac:dyDescent="0.2">
      <c r="A53" s="33"/>
      <c r="B53" s="33"/>
      <c r="C53" s="59"/>
      <c r="D53" s="33"/>
      <c r="E53" s="318"/>
      <c r="F53" s="59"/>
      <c r="G53" s="33"/>
      <c r="H53" s="33"/>
      <c r="I53" s="33"/>
    </row>
    <row r="54" spans="1:9" x14ac:dyDescent="0.2">
      <c r="A54" s="25" t="s">
        <v>42</v>
      </c>
      <c r="B54" s="135"/>
      <c r="C54" s="142"/>
      <c r="D54" s="316"/>
      <c r="E54" s="53"/>
      <c r="F54" s="317"/>
      <c r="G54" s="135"/>
      <c r="H54" s="26"/>
      <c r="I54" s="43"/>
    </row>
    <row r="55" spans="1:9" x14ac:dyDescent="0.2">
      <c r="A55" s="150"/>
      <c r="B55" s="145" t="s">
        <v>10</v>
      </c>
      <c r="C55" s="151">
        <v>90000</v>
      </c>
      <c r="D55" s="53" t="s">
        <v>1173</v>
      </c>
      <c r="E55" s="571">
        <f>SUM(C55:C56)</f>
        <v>150000</v>
      </c>
      <c r="F55" s="151"/>
      <c r="G55" s="595" t="s">
        <v>1213</v>
      </c>
      <c r="H55" s="145" t="s">
        <v>1152</v>
      </c>
      <c r="I55" s="92"/>
    </row>
    <row r="56" spans="1:9" x14ac:dyDescent="0.2">
      <c r="A56" s="150"/>
      <c r="B56" s="145" t="s">
        <v>10</v>
      </c>
      <c r="C56" s="151">
        <v>60000</v>
      </c>
      <c r="D56" s="53" t="s">
        <v>1200</v>
      </c>
      <c r="E56" s="594"/>
      <c r="F56" s="151"/>
      <c r="G56" s="596"/>
      <c r="H56" s="145" t="s">
        <v>1152</v>
      </c>
      <c r="I56" s="92"/>
    </row>
    <row r="57" spans="1:9" x14ac:dyDescent="0.2">
      <c r="A57" s="150"/>
      <c r="B57" s="145" t="s">
        <v>532</v>
      </c>
      <c r="C57" s="151">
        <v>96000</v>
      </c>
      <c r="D57" s="53" t="s">
        <v>1203</v>
      </c>
      <c r="E57" s="151">
        <f>C57</f>
        <v>96000</v>
      </c>
      <c r="F57" s="151"/>
      <c r="G57" s="459" t="s">
        <v>1214</v>
      </c>
      <c r="H57" s="145" t="s">
        <v>1152</v>
      </c>
      <c r="I57" s="92"/>
    </row>
    <row r="58" spans="1:9" x14ac:dyDescent="0.2">
      <c r="A58" s="150"/>
      <c r="B58" s="145" t="s">
        <v>532</v>
      </c>
      <c r="C58" s="151">
        <v>28000</v>
      </c>
      <c r="D58" s="53" t="s">
        <v>1204</v>
      </c>
      <c r="E58" s="451"/>
      <c r="F58" s="151">
        <v>16642.2</v>
      </c>
      <c r="G58" s="559" t="s">
        <v>1208</v>
      </c>
      <c r="H58" s="559" t="s">
        <v>1153</v>
      </c>
      <c r="I58" s="92"/>
    </row>
    <row r="59" spans="1:9" x14ac:dyDescent="0.2">
      <c r="A59" s="150"/>
      <c r="B59" s="145"/>
      <c r="C59" s="151"/>
      <c r="D59" s="53"/>
      <c r="E59" s="151"/>
      <c r="F59" s="151">
        <f>-(C58-F58)</f>
        <v>-11357.8</v>
      </c>
      <c r="G59" s="561"/>
      <c r="H59" s="561"/>
      <c r="I59" s="42" t="s">
        <v>1207</v>
      </c>
    </row>
    <row r="60" spans="1:9" x14ac:dyDescent="0.2">
      <c r="A60" s="150"/>
      <c r="B60" s="145" t="s">
        <v>532</v>
      </c>
      <c r="C60" s="151"/>
      <c r="D60" s="53"/>
      <c r="E60" s="151"/>
      <c r="F60" s="151"/>
      <c r="G60" s="135"/>
      <c r="H60" s="145"/>
      <c r="I60" s="92"/>
    </row>
    <row r="61" spans="1:9" x14ac:dyDescent="0.2">
      <c r="A61" s="150"/>
      <c r="B61" s="145"/>
      <c r="C61" s="151"/>
      <c r="D61" s="53"/>
      <c r="E61" s="151"/>
      <c r="F61" s="151"/>
      <c r="G61" s="135"/>
      <c r="H61" s="145"/>
      <c r="I61" s="92"/>
    </row>
    <row r="62" spans="1:9" x14ac:dyDescent="0.2">
      <c r="A62" s="150" t="s">
        <v>43</v>
      </c>
      <c r="B62" s="145"/>
      <c r="C62" s="315">
        <f>SUM(C54:C61)</f>
        <v>274000</v>
      </c>
      <c r="D62" s="53"/>
      <c r="E62" s="315">
        <f>SUM(E54:E61)</f>
        <v>246000</v>
      </c>
      <c r="F62" s="315">
        <f>SUM(F54:F61)</f>
        <v>5284.4000000000015</v>
      </c>
      <c r="G62" s="135"/>
      <c r="H62" s="145"/>
      <c r="I62" s="92"/>
    </row>
    <row r="63" spans="1:9" x14ac:dyDescent="0.2">
      <c r="A63" s="319"/>
      <c r="B63" s="304"/>
      <c r="C63" s="320"/>
      <c r="D63" s="305"/>
      <c r="E63" s="320"/>
      <c r="F63" s="320"/>
      <c r="G63" s="321"/>
      <c r="H63" s="304"/>
      <c r="I63" s="322"/>
    </row>
    <row r="64" spans="1:9" x14ac:dyDescent="0.2">
      <c r="A64" s="150" t="s">
        <v>975</v>
      </c>
      <c r="B64" s="145"/>
      <c r="C64" s="151"/>
      <c r="D64" s="53"/>
      <c r="E64" s="151"/>
      <c r="F64" s="151"/>
      <c r="G64" s="135"/>
      <c r="H64" s="145"/>
      <c r="I64" s="92"/>
    </row>
    <row r="65" spans="1:9" x14ac:dyDescent="0.2">
      <c r="A65" s="150"/>
      <c r="B65" s="145"/>
      <c r="C65" s="151"/>
      <c r="D65" s="53"/>
      <c r="E65" s="151"/>
      <c r="F65" s="151"/>
      <c r="G65" s="135"/>
      <c r="H65" s="145"/>
      <c r="I65" s="92"/>
    </row>
    <row r="66" spans="1:9" x14ac:dyDescent="0.2">
      <c r="A66" s="150"/>
      <c r="B66" s="145"/>
      <c r="C66" s="151"/>
      <c r="D66" s="53"/>
      <c r="E66" s="151"/>
      <c r="F66" s="151"/>
      <c r="G66" s="135"/>
      <c r="H66" s="145"/>
      <c r="I66" s="92"/>
    </row>
    <row r="67" spans="1:9" x14ac:dyDescent="0.2">
      <c r="A67" s="150"/>
      <c r="B67" s="145"/>
      <c r="C67" s="151"/>
      <c r="D67" s="53"/>
      <c r="E67" s="151"/>
      <c r="F67" s="151"/>
      <c r="G67" s="135"/>
      <c r="H67" s="145"/>
      <c r="I67" s="92"/>
    </row>
    <row r="68" spans="1:9" ht="13.5" thickBot="1" x14ac:dyDescent="0.25">
      <c r="A68" s="28" t="s">
        <v>43</v>
      </c>
      <c r="B68" s="29"/>
      <c r="C68" s="56">
        <f>SUM(C65:C67)</f>
        <v>0</v>
      </c>
      <c r="D68" s="29"/>
      <c r="E68" s="56">
        <f>SUM(E65:E67)</f>
        <v>0</v>
      </c>
      <c r="F68" s="56">
        <f>SUM(F65:F67)</f>
        <v>0</v>
      </c>
      <c r="G68" s="29"/>
      <c r="H68" s="29"/>
      <c r="I68" s="30"/>
    </row>
    <row r="69" spans="1:9" ht="13.5" thickBot="1" x14ac:dyDescent="0.25"/>
    <row r="70" spans="1:9" ht="21" thickBot="1" x14ac:dyDescent="0.25">
      <c r="A70" s="550" t="s">
        <v>976</v>
      </c>
      <c r="B70" s="551"/>
      <c r="C70" s="551"/>
      <c r="D70" s="551"/>
      <c r="E70" s="551"/>
      <c r="F70" s="551"/>
      <c r="G70" s="551"/>
      <c r="H70" s="551"/>
      <c r="I70" s="552"/>
    </row>
    <row r="71" spans="1:9" ht="20.25" x14ac:dyDescent="0.3">
      <c r="A71" s="39"/>
      <c r="B71" s="13" t="s">
        <v>964</v>
      </c>
      <c r="C71" s="13" t="s">
        <v>965</v>
      </c>
      <c r="D71" s="13" t="s">
        <v>966</v>
      </c>
      <c r="E71" s="13" t="s">
        <v>967</v>
      </c>
      <c r="F71" s="14"/>
      <c r="G71" s="13"/>
      <c r="H71" s="13"/>
      <c r="I71" s="37"/>
    </row>
    <row r="72" spans="1:9" x14ac:dyDescent="0.2">
      <c r="A72" s="39" t="s">
        <v>971</v>
      </c>
      <c r="B72" s="207">
        <v>116294</v>
      </c>
      <c r="C72" s="207">
        <v>81868</v>
      </c>
      <c r="D72" s="207">
        <v>165313</v>
      </c>
      <c r="E72" s="207">
        <v>10000</v>
      </c>
      <c r="F72" s="146" t="s">
        <v>972</v>
      </c>
      <c r="G72" s="13"/>
      <c r="H72" s="13"/>
      <c r="I72" s="155" t="s">
        <v>973</v>
      </c>
    </row>
    <row r="73" spans="1:9" ht="20.25" x14ac:dyDescent="0.3">
      <c r="A73" s="39" t="s">
        <v>36</v>
      </c>
      <c r="B73" s="18">
        <f>IF(B110&gt;B72,B72,B110)</f>
        <v>0</v>
      </c>
      <c r="C73" s="18">
        <f>IF(C110&gt;C72,C72,C110)</f>
        <v>81868</v>
      </c>
      <c r="D73" s="18">
        <f>IF(D110&gt;D72,D72,D110)</f>
        <v>78000</v>
      </c>
      <c r="E73" s="18">
        <v>0</v>
      </c>
      <c r="F73" s="14"/>
      <c r="G73" s="13"/>
      <c r="H73" s="13"/>
      <c r="I73" s="37"/>
    </row>
    <row r="74" spans="1:9" x14ac:dyDescent="0.2">
      <c r="A74" s="39" t="s">
        <v>969</v>
      </c>
      <c r="B74" s="18">
        <f>SUM(B72:B73)</f>
        <v>116294</v>
      </c>
      <c r="C74" s="18">
        <f>SUM(C72:C73)</f>
        <v>163736</v>
      </c>
      <c r="D74" s="18">
        <f>SUM(D72:D73)</f>
        <v>243313</v>
      </c>
      <c r="E74" s="18">
        <f>SUM(E72:E73)</f>
        <v>10000</v>
      </c>
      <c r="F74" s="125" t="s">
        <v>107</v>
      </c>
      <c r="G74" s="13"/>
      <c r="H74" s="13"/>
      <c r="I74" s="37"/>
    </row>
    <row r="75" spans="1:9" ht="20.25" x14ac:dyDescent="0.3">
      <c r="A75" s="39" t="s">
        <v>47</v>
      </c>
      <c r="B75" s="18">
        <f>B110</f>
        <v>0</v>
      </c>
      <c r="C75" s="18">
        <f>IF(C111&gt;C72,C72,C111)</f>
        <v>81868</v>
      </c>
      <c r="D75" s="18">
        <f>IF(D111&gt;D105,D105,D111)</f>
        <v>78000</v>
      </c>
      <c r="E75" s="18">
        <v>0</v>
      </c>
      <c r="F75" s="14"/>
      <c r="G75" s="13"/>
      <c r="H75" s="13"/>
      <c r="I75" s="37"/>
    </row>
    <row r="76" spans="1:9" x14ac:dyDescent="0.2">
      <c r="A76" s="39" t="s">
        <v>479</v>
      </c>
      <c r="B76" s="18">
        <f>B74+B75</f>
        <v>116294</v>
      </c>
      <c r="C76" s="18">
        <f>C75+C72</f>
        <v>163736</v>
      </c>
      <c r="D76" s="18">
        <f>D75+D72</f>
        <v>243313</v>
      </c>
      <c r="E76" s="18">
        <f>E75+E72</f>
        <v>10000</v>
      </c>
      <c r="F76" s="146" t="s">
        <v>108</v>
      </c>
      <c r="G76" s="13"/>
      <c r="H76" s="13"/>
      <c r="I76" s="37"/>
    </row>
    <row r="77" spans="1:9" x14ac:dyDescent="0.2">
      <c r="A77" s="39" t="s">
        <v>39</v>
      </c>
      <c r="B77" s="18">
        <f>B74-E82</f>
        <v>0</v>
      </c>
      <c r="C77" s="18">
        <f>C74-E86</f>
        <v>147593.9</v>
      </c>
      <c r="D77" s="18">
        <f>D74-E95</f>
        <v>132329</v>
      </c>
      <c r="E77" s="18">
        <f>E74-E101</f>
        <v>10000</v>
      </c>
      <c r="F77" s="146" t="s">
        <v>109</v>
      </c>
      <c r="G77" s="13"/>
      <c r="H77" s="13"/>
      <c r="I77" s="37"/>
    </row>
    <row r="78" spans="1:9" x14ac:dyDescent="0.2">
      <c r="A78" s="39" t="s">
        <v>132</v>
      </c>
      <c r="B78" s="38">
        <f>B76-E82-F82</f>
        <v>0</v>
      </c>
      <c r="C78" s="38">
        <f>C76-E86-F86</f>
        <v>137689.51999999999</v>
      </c>
      <c r="D78" s="44">
        <f>D76-E95-F95</f>
        <v>132329</v>
      </c>
      <c r="E78" s="44">
        <f>E76-E101-F101</f>
        <v>10000</v>
      </c>
      <c r="F78" s="146" t="s">
        <v>110</v>
      </c>
      <c r="G78" s="140"/>
      <c r="H78" s="140"/>
      <c r="I78" s="140"/>
    </row>
    <row r="79" spans="1:9" ht="21" thickBot="1" x14ac:dyDescent="0.35">
      <c r="A79" s="39"/>
      <c r="B79" s="13"/>
      <c r="C79" s="13"/>
      <c r="D79" s="13"/>
      <c r="E79" s="14"/>
      <c r="F79" s="14"/>
      <c r="G79" s="13"/>
      <c r="H79" s="13"/>
      <c r="I79" s="37"/>
    </row>
    <row r="80" spans="1:9" ht="25.5" x14ac:dyDescent="0.2">
      <c r="A80" s="19" t="s">
        <v>41</v>
      </c>
      <c r="B80" s="20" t="s">
        <v>34</v>
      </c>
      <c r="C80" s="20" t="s">
        <v>64</v>
      </c>
      <c r="D80" s="20" t="s">
        <v>63</v>
      </c>
      <c r="E80" s="20" t="s">
        <v>37</v>
      </c>
      <c r="F80" s="20" t="s">
        <v>48</v>
      </c>
      <c r="G80" s="20" t="s">
        <v>40</v>
      </c>
      <c r="H80" s="20" t="s">
        <v>38</v>
      </c>
      <c r="I80" s="21" t="s">
        <v>5</v>
      </c>
    </row>
    <row r="81" spans="1:9" x14ac:dyDescent="0.2">
      <c r="A81" s="22" t="s">
        <v>10</v>
      </c>
      <c r="B81" s="23" t="s">
        <v>10</v>
      </c>
      <c r="C81" s="57">
        <v>116294</v>
      </c>
      <c r="D81" s="50">
        <v>45000</v>
      </c>
      <c r="E81" s="57">
        <f>C81</f>
        <v>116294</v>
      </c>
      <c r="G81" s="287" t="s">
        <v>1009</v>
      </c>
      <c r="H81" s="23" t="s">
        <v>974</v>
      </c>
      <c r="I81" s="24"/>
    </row>
    <row r="82" spans="1:9" x14ac:dyDescent="0.2">
      <c r="A82" s="25" t="s">
        <v>43</v>
      </c>
      <c r="B82" s="26"/>
      <c r="C82" s="61">
        <f>C81</f>
        <v>116294</v>
      </c>
      <c r="D82" s="26"/>
      <c r="E82" s="265">
        <f>E81</f>
        <v>116294</v>
      </c>
      <c r="F82" s="268"/>
      <c r="G82" s="288"/>
      <c r="H82" s="26"/>
      <c r="I82" s="27"/>
    </row>
    <row r="83" spans="1:9" x14ac:dyDescent="0.2">
      <c r="A83" s="33"/>
      <c r="B83" s="33"/>
      <c r="C83" s="59"/>
      <c r="D83" s="33"/>
      <c r="E83" s="59"/>
      <c r="F83" s="267"/>
      <c r="G83" s="33"/>
      <c r="H83" s="33"/>
      <c r="I83" s="33"/>
    </row>
    <row r="84" spans="1:9" x14ac:dyDescent="0.2">
      <c r="A84" s="25" t="s">
        <v>44</v>
      </c>
      <c r="B84" s="26" t="s">
        <v>568</v>
      </c>
      <c r="C84" s="151">
        <v>16142.1</v>
      </c>
      <c r="D84" s="55">
        <v>45015</v>
      </c>
      <c r="E84" s="58">
        <v>16142.1</v>
      </c>
      <c r="F84" s="58">
        <v>0</v>
      </c>
      <c r="G84" s="26" t="s">
        <v>1112</v>
      </c>
      <c r="H84" s="26"/>
      <c r="I84" s="80"/>
    </row>
    <row r="85" spans="1:9" x14ac:dyDescent="0.2">
      <c r="A85" s="25"/>
      <c r="B85" s="26"/>
      <c r="C85" s="58">
        <v>9904.3799999999992</v>
      </c>
      <c r="D85" s="55">
        <v>45378</v>
      </c>
      <c r="E85" s="58"/>
      <c r="F85" s="58">
        <v>9904.3799999999992</v>
      </c>
      <c r="G85" s="26"/>
      <c r="H85" s="26" t="s">
        <v>974</v>
      </c>
      <c r="I85" s="27"/>
    </row>
    <row r="86" spans="1:9" x14ac:dyDescent="0.2">
      <c r="A86" s="25" t="s">
        <v>43</v>
      </c>
      <c r="B86" s="26"/>
      <c r="C86" s="60">
        <f>C84+C85</f>
        <v>26046.48</v>
      </c>
      <c r="D86" s="26"/>
      <c r="E86" s="60">
        <f>E84+E85</f>
        <v>16142.1</v>
      </c>
      <c r="F86" s="60">
        <f>SUM(F84:F85)</f>
        <v>9904.3799999999992</v>
      </c>
      <c r="G86" s="26"/>
      <c r="H86" s="26"/>
      <c r="I86" s="27"/>
    </row>
    <row r="87" spans="1:9" x14ac:dyDescent="0.2">
      <c r="A87" s="33"/>
      <c r="B87" s="33"/>
      <c r="C87" s="59"/>
      <c r="D87" s="33"/>
      <c r="E87" s="318"/>
      <c r="F87" s="59"/>
      <c r="G87" s="33"/>
      <c r="H87" s="33"/>
      <c r="I87" s="33"/>
    </row>
    <row r="88" spans="1:9" x14ac:dyDescent="0.2">
      <c r="A88" s="25" t="s">
        <v>42</v>
      </c>
      <c r="B88" s="135"/>
      <c r="C88" s="142"/>
      <c r="D88" s="316"/>
      <c r="E88" s="53"/>
      <c r="F88" s="317"/>
      <c r="G88" s="135"/>
      <c r="H88" s="26"/>
      <c r="I88" s="43"/>
    </row>
    <row r="89" spans="1:9" x14ac:dyDescent="0.2">
      <c r="A89" s="150"/>
      <c r="B89" s="145" t="s">
        <v>532</v>
      </c>
      <c r="C89" s="151">
        <v>32000</v>
      </c>
      <c r="D89" s="53" t="s">
        <v>955</v>
      </c>
      <c r="E89" s="151">
        <v>32000</v>
      </c>
      <c r="F89" s="151"/>
      <c r="G89" s="135" t="s">
        <v>1113</v>
      </c>
      <c r="H89" s="145" t="s">
        <v>952</v>
      </c>
      <c r="I89" s="92"/>
    </row>
    <row r="90" spans="1:9" x14ac:dyDescent="0.2">
      <c r="A90" s="150"/>
      <c r="B90" s="145" t="s">
        <v>10</v>
      </c>
      <c r="C90" s="151">
        <v>25000</v>
      </c>
      <c r="D90" s="53" t="s">
        <v>1068</v>
      </c>
      <c r="E90" s="151">
        <v>17984</v>
      </c>
      <c r="F90" s="151">
        <f>C90-E90</f>
        <v>7016</v>
      </c>
      <c r="G90" s="135" t="s">
        <v>1158</v>
      </c>
      <c r="H90" s="145" t="s">
        <v>1051</v>
      </c>
      <c r="I90" s="92"/>
    </row>
    <row r="91" spans="1:9" x14ac:dyDescent="0.2">
      <c r="A91" s="150"/>
      <c r="B91" s="145"/>
      <c r="C91" s="151"/>
      <c r="D91" s="53"/>
      <c r="E91" s="151"/>
      <c r="F91" s="151">
        <v>-7016</v>
      </c>
      <c r="G91" s="135"/>
      <c r="H91" s="145"/>
      <c r="I91" s="92" t="s">
        <v>99</v>
      </c>
    </row>
    <row r="92" spans="1:9" x14ac:dyDescent="0.2">
      <c r="A92" s="150"/>
      <c r="B92" s="145" t="s">
        <v>532</v>
      </c>
      <c r="C92" s="151">
        <v>36000</v>
      </c>
      <c r="D92" s="53" t="s">
        <v>1087</v>
      </c>
      <c r="E92" s="151">
        <f>C92</f>
        <v>36000</v>
      </c>
      <c r="F92" s="151"/>
      <c r="G92" s="135" t="s">
        <v>1110</v>
      </c>
      <c r="H92" s="145" t="s">
        <v>1051</v>
      </c>
      <c r="I92" s="92"/>
    </row>
    <row r="93" spans="1:9" x14ac:dyDescent="0.2">
      <c r="A93" s="150"/>
      <c r="B93" s="145" t="s">
        <v>10</v>
      </c>
      <c r="C93" s="151">
        <v>25000</v>
      </c>
      <c r="D93" s="53" t="s">
        <v>1086</v>
      </c>
      <c r="E93" s="151">
        <v>25000</v>
      </c>
      <c r="F93" s="151"/>
      <c r="G93" s="135" t="s">
        <v>1116</v>
      </c>
      <c r="H93" s="145" t="s">
        <v>952</v>
      </c>
      <c r="I93" s="92" t="s">
        <v>1077</v>
      </c>
    </row>
    <row r="94" spans="1:9" x14ac:dyDescent="0.2">
      <c r="A94" s="150"/>
      <c r="B94" s="145"/>
      <c r="C94" s="151"/>
      <c r="D94" s="53"/>
      <c r="E94" s="151"/>
      <c r="F94" s="151"/>
      <c r="G94" s="135"/>
      <c r="H94" s="145"/>
      <c r="I94" s="92"/>
    </row>
    <row r="95" spans="1:9" x14ac:dyDescent="0.2">
      <c r="A95" s="150" t="s">
        <v>43</v>
      </c>
      <c r="B95" s="145"/>
      <c r="C95" s="315">
        <f>SUM(C88:C94)</f>
        <v>118000</v>
      </c>
      <c r="D95" s="53"/>
      <c r="E95" s="315">
        <f>SUM(E88:E94)</f>
        <v>110984</v>
      </c>
      <c r="F95" s="315">
        <f>SUM(F88:F94)</f>
        <v>0</v>
      </c>
      <c r="G95" s="135"/>
      <c r="H95" s="145"/>
      <c r="I95" s="92"/>
    </row>
    <row r="96" spans="1:9" x14ac:dyDescent="0.2">
      <c r="A96" s="319"/>
      <c r="B96" s="304"/>
      <c r="C96" s="320"/>
      <c r="D96" s="305"/>
      <c r="E96" s="320"/>
      <c r="F96" s="320"/>
      <c r="G96" s="321"/>
      <c r="H96" s="304"/>
      <c r="I96" s="322"/>
    </row>
    <row r="97" spans="1:9" x14ac:dyDescent="0.2">
      <c r="A97" s="150" t="s">
        <v>975</v>
      </c>
      <c r="B97" s="145"/>
      <c r="C97" s="151"/>
      <c r="D97" s="53"/>
      <c r="E97" s="151"/>
      <c r="F97" s="151"/>
      <c r="G97" s="135"/>
      <c r="H97" s="145"/>
      <c r="I97" s="92"/>
    </row>
    <row r="98" spans="1:9" x14ac:dyDescent="0.2">
      <c r="A98" s="150"/>
      <c r="B98" s="145"/>
      <c r="C98" s="151"/>
      <c r="D98" s="53"/>
      <c r="E98" s="151"/>
      <c r="F98" s="151"/>
      <c r="G98" s="135"/>
      <c r="H98" s="145"/>
      <c r="I98" s="92"/>
    </row>
    <row r="99" spans="1:9" x14ac:dyDescent="0.2">
      <c r="A99" s="150"/>
      <c r="B99" s="145"/>
      <c r="C99" s="151"/>
      <c r="D99" s="53"/>
      <c r="E99" s="151"/>
      <c r="F99" s="151"/>
      <c r="G99" s="135"/>
      <c r="H99" s="145"/>
      <c r="I99" s="92"/>
    </row>
    <row r="100" spans="1:9" x14ac:dyDescent="0.2">
      <c r="A100" s="150"/>
      <c r="B100" s="145"/>
      <c r="C100" s="151"/>
      <c r="D100" s="53"/>
      <c r="E100" s="151"/>
      <c r="F100" s="151"/>
      <c r="G100" s="135"/>
      <c r="H100" s="145"/>
      <c r="I100" s="92"/>
    </row>
    <row r="101" spans="1:9" ht="13.5" thickBot="1" x14ac:dyDescent="0.25">
      <c r="A101" s="28" t="s">
        <v>43</v>
      </c>
      <c r="B101" s="29"/>
      <c r="C101" s="56">
        <f>SUM(C98:C100)</f>
        <v>0</v>
      </c>
      <c r="D101" s="29"/>
      <c r="E101" s="56">
        <f>SUM(E98:E100)</f>
        <v>0</v>
      </c>
      <c r="F101" s="56">
        <f>SUM(F98:F100)</f>
        <v>0</v>
      </c>
      <c r="G101" s="29"/>
      <c r="H101" s="29"/>
      <c r="I101" s="30"/>
    </row>
    <row r="102" spans="1:9" ht="13.5" thickBot="1" x14ac:dyDescent="0.25"/>
    <row r="103" spans="1:9" ht="21" thickBot="1" x14ac:dyDescent="0.25">
      <c r="A103" s="550" t="s">
        <v>867</v>
      </c>
      <c r="B103" s="551"/>
      <c r="C103" s="551"/>
      <c r="D103" s="551"/>
      <c r="E103" s="551"/>
      <c r="F103" s="551"/>
      <c r="G103" s="551"/>
      <c r="H103" s="551"/>
      <c r="I103" s="552"/>
    </row>
    <row r="104" spans="1:9" ht="20.25" x14ac:dyDescent="0.3">
      <c r="A104" s="39"/>
      <c r="B104" s="13" t="s">
        <v>859</v>
      </c>
      <c r="C104" s="13" t="s">
        <v>860</v>
      </c>
      <c r="D104" s="13" t="s">
        <v>861</v>
      </c>
      <c r="E104" s="14"/>
      <c r="F104" s="14"/>
      <c r="G104" s="13"/>
      <c r="H104" s="13"/>
      <c r="I104" s="37"/>
    </row>
    <row r="105" spans="1:9" ht="20.25" x14ac:dyDescent="0.3">
      <c r="A105" s="39" t="s">
        <v>864</v>
      </c>
      <c r="B105" s="207">
        <v>101125</v>
      </c>
      <c r="C105" s="207">
        <f>C130+(0.03*C130)</f>
        <v>81867.259821779997</v>
      </c>
      <c r="D105" s="207">
        <v>143750</v>
      </c>
      <c r="E105" s="155"/>
      <c r="F105" s="14"/>
      <c r="G105" s="13"/>
      <c r="H105" s="13"/>
      <c r="I105" s="37"/>
    </row>
    <row r="106" spans="1:9" ht="20.25" x14ac:dyDescent="0.3">
      <c r="A106" s="39" t="s">
        <v>36</v>
      </c>
      <c r="B106" s="18">
        <f>IF(B135&gt;B105,B105,B135)</f>
        <v>0</v>
      </c>
      <c r="C106" s="18">
        <f>IF(C135&gt;C105,C105,C135)</f>
        <v>81867.259821779997</v>
      </c>
      <c r="D106" s="18">
        <f>IF(D135&gt;D105,D105,D135)</f>
        <v>143750</v>
      </c>
      <c r="E106" s="14"/>
      <c r="F106" s="14"/>
      <c r="G106" s="13"/>
      <c r="H106" s="13"/>
      <c r="I106" s="37"/>
    </row>
    <row r="107" spans="1:9" ht="20.25" x14ac:dyDescent="0.3">
      <c r="A107" s="39" t="s">
        <v>862</v>
      </c>
      <c r="B107" s="18">
        <f>SUM(B105:B106)</f>
        <v>101125</v>
      </c>
      <c r="C107" s="18">
        <f>SUM(C105:C106)</f>
        <v>163734.51964355999</v>
      </c>
      <c r="D107" s="18">
        <f>SUM(D105:D106)</f>
        <v>287500</v>
      </c>
      <c r="E107" s="125" t="s">
        <v>107</v>
      </c>
      <c r="F107" s="14"/>
      <c r="G107" s="13"/>
      <c r="H107" s="13"/>
      <c r="I107" s="37"/>
    </row>
    <row r="108" spans="1:9" ht="20.25" x14ac:dyDescent="0.3">
      <c r="A108" s="39" t="s">
        <v>47</v>
      </c>
      <c r="B108" s="18">
        <f>B135</f>
        <v>0</v>
      </c>
      <c r="C108" s="18">
        <f>IF(C136&gt;C105,C105,C136)</f>
        <v>81867.259821779997</v>
      </c>
      <c r="D108" s="18">
        <f>IF(D136&gt;D130,D130,D136)</f>
        <v>143750</v>
      </c>
      <c r="E108" s="14"/>
      <c r="F108" s="14"/>
      <c r="G108" s="13"/>
      <c r="H108" s="13"/>
      <c r="I108" s="37"/>
    </row>
    <row r="109" spans="1:9" ht="20.25" x14ac:dyDescent="0.3">
      <c r="A109" s="39" t="s">
        <v>479</v>
      </c>
      <c r="B109" s="18">
        <f>B107+B108</f>
        <v>101125</v>
      </c>
      <c r="C109" s="18">
        <f>C108+C105</f>
        <v>163734.51964355999</v>
      </c>
      <c r="D109" s="18">
        <f>D108+D105</f>
        <v>287500</v>
      </c>
      <c r="E109" s="146" t="s">
        <v>108</v>
      </c>
      <c r="F109" s="14"/>
      <c r="G109" s="13"/>
      <c r="H109" s="13"/>
      <c r="I109" s="37"/>
    </row>
    <row r="110" spans="1:9" ht="20.25" x14ac:dyDescent="0.3">
      <c r="A110" s="39" t="s">
        <v>39</v>
      </c>
      <c r="B110" s="18">
        <f>B107-E115</f>
        <v>0</v>
      </c>
      <c r="C110" s="18">
        <f>C107-E119</f>
        <v>109485.83964356</v>
      </c>
      <c r="D110" s="18">
        <f>D107-E126</f>
        <v>78000</v>
      </c>
      <c r="E110" s="146" t="s">
        <v>109</v>
      </c>
      <c r="F110" s="14"/>
      <c r="G110" s="13"/>
      <c r="H110" s="13"/>
      <c r="I110" s="37"/>
    </row>
    <row r="111" spans="1:9" x14ac:dyDescent="0.2">
      <c r="A111" s="39" t="s">
        <v>132</v>
      </c>
      <c r="B111" s="38">
        <f>B109-E115-F115</f>
        <v>0</v>
      </c>
      <c r="C111" s="38">
        <f>C109-E119-F119</f>
        <v>109485.83964356</v>
      </c>
      <c r="D111" s="44">
        <f>D109-E126-F126</f>
        <v>78000</v>
      </c>
      <c r="E111" s="554" t="s">
        <v>110</v>
      </c>
      <c r="F111" s="555"/>
      <c r="G111" s="555"/>
      <c r="H111" s="555"/>
      <c r="I111" s="37"/>
    </row>
    <row r="112" spans="1:9" ht="21" thickBot="1" x14ac:dyDescent="0.35">
      <c r="A112" s="39"/>
      <c r="B112" s="13"/>
      <c r="C112" s="13"/>
      <c r="D112" s="13"/>
      <c r="E112" s="14"/>
      <c r="F112" s="14"/>
      <c r="G112" s="13"/>
      <c r="H112" s="13"/>
      <c r="I112" s="37"/>
    </row>
    <row r="113" spans="1:9" ht="25.5" x14ac:dyDescent="0.2">
      <c r="A113" s="19" t="s">
        <v>41</v>
      </c>
      <c r="B113" s="20" t="s">
        <v>34</v>
      </c>
      <c r="C113" s="20" t="s">
        <v>64</v>
      </c>
      <c r="D113" s="20" t="s">
        <v>63</v>
      </c>
      <c r="E113" s="20" t="s">
        <v>37</v>
      </c>
      <c r="F113" s="20" t="s">
        <v>48</v>
      </c>
      <c r="G113" s="20" t="s">
        <v>40</v>
      </c>
      <c r="H113" s="20" t="s">
        <v>38</v>
      </c>
      <c r="I113" s="21" t="s">
        <v>5</v>
      </c>
    </row>
    <row r="114" spans="1:9" x14ac:dyDescent="0.2">
      <c r="A114" s="22" t="s">
        <v>10</v>
      </c>
      <c r="B114" s="23" t="s">
        <v>10</v>
      </c>
      <c r="C114" s="57">
        <v>101125</v>
      </c>
      <c r="D114" s="50">
        <v>44586</v>
      </c>
      <c r="E114" s="57">
        <f>C114</f>
        <v>101125</v>
      </c>
      <c r="G114" s="287" t="s">
        <v>881</v>
      </c>
      <c r="H114" s="23" t="s">
        <v>487</v>
      </c>
      <c r="I114" s="24"/>
    </row>
    <row r="115" spans="1:9" x14ac:dyDescent="0.2">
      <c r="A115" s="25" t="s">
        <v>43</v>
      </c>
      <c r="B115" s="26"/>
      <c r="C115" s="61">
        <f>C114</f>
        <v>101125</v>
      </c>
      <c r="D115" s="26"/>
      <c r="E115" s="265">
        <f>E114</f>
        <v>101125</v>
      </c>
      <c r="F115" s="268"/>
      <c r="G115" s="288"/>
      <c r="H115" s="26" t="s">
        <v>487</v>
      </c>
      <c r="I115" s="27"/>
    </row>
    <row r="116" spans="1:9" x14ac:dyDescent="0.2">
      <c r="A116" s="33"/>
      <c r="B116" s="33"/>
      <c r="C116" s="59"/>
      <c r="D116" s="33"/>
      <c r="E116" s="59"/>
      <c r="F116" s="267"/>
      <c r="G116" s="33"/>
      <c r="H116" s="33"/>
      <c r="I116" s="33"/>
    </row>
    <row r="117" spans="1:9" x14ac:dyDescent="0.2">
      <c r="A117" s="25" t="s">
        <v>44</v>
      </c>
      <c r="B117" s="26" t="s">
        <v>568</v>
      </c>
      <c r="C117" s="151">
        <v>23218.13</v>
      </c>
      <c r="D117" s="55" t="s">
        <v>915</v>
      </c>
      <c r="E117" s="58">
        <v>23218.13</v>
      </c>
      <c r="F117" s="58">
        <v>0</v>
      </c>
      <c r="G117" s="26" t="s">
        <v>915</v>
      </c>
      <c r="H117" s="26" t="s">
        <v>487</v>
      </c>
      <c r="I117" s="80"/>
    </row>
    <row r="118" spans="1:9" x14ac:dyDescent="0.2">
      <c r="A118" s="25"/>
      <c r="B118" s="26"/>
      <c r="C118" s="58">
        <v>31030.55</v>
      </c>
      <c r="D118" s="51" t="s">
        <v>936</v>
      </c>
      <c r="E118" s="58">
        <v>31030.55</v>
      </c>
      <c r="F118" s="58"/>
      <c r="G118" s="26" t="s">
        <v>936</v>
      </c>
      <c r="H118" s="26" t="s">
        <v>487</v>
      </c>
      <c r="I118" s="27"/>
    </row>
    <row r="119" spans="1:9" x14ac:dyDescent="0.2">
      <c r="A119" s="25" t="s">
        <v>43</v>
      </c>
      <c r="B119" s="26"/>
      <c r="C119" s="60">
        <f>C117+C118</f>
        <v>54248.68</v>
      </c>
      <c r="D119" s="26"/>
      <c r="E119" s="60">
        <f>E117+E118</f>
        <v>54248.68</v>
      </c>
      <c r="F119" s="60">
        <f>SUM(F117:F118)</f>
        <v>0</v>
      </c>
      <c r="G119" s="26"/>
      <c r="H119" s="26"/>
      <c r="I119" s="27"/>
    </row>
    <row r="120" spans="1:9" x14ac:dyDescent="0.2">
      <c r="A120" s="33"/>
      <c r="B120" s="33"/>
      <c r="C120" s="59"/>
      <c r="D120" s="33"/>
      <c r="E120" s="59"/>
      <c r="F120" s="59"/>
      <c r="G120" s="33"/>
      <c r="H120" s="33"/>
      <c r="I120" s="33"/>
    </row>
    <row r="121" spans="1:9" x14ac:dyDescent="0.2">
      <c r="A121" s="25" t="s">
        <v>42</v>
      </c>
      <c r="B121" s="135" t="s">
        <v>10</v>
      </c>
      <c r="C121" s="142">
        <v>80000</v>
      </c>
      <c r="D121" s="136" t="s">
        <v>886</v>
      </c>
      <c r="E121" s="244">
        <v>80000</v>
      </c>
      <c r="F121" s="142"/>
      <c r="G121" s="559" t="s">
        <v>1013</v>
      </c>
      <c r="H121" s="26" t="s">
        <v>882</v>
      </c>
      <c r="I121" s="43"/>
    </row>
    <row r="122" spans="1:9" x14ac:dyDescent="0.2">
      <c r="A122" s="150"/>
      <c r="B122" s="135"/>
      <c r="C122" s="142">
        <v>33500</v>
      </c>
      <c r="D122" s="136" t="s">
        <v>962</v>
      </c>
      <c r="E122" s="247">
        <v>33500</v>
      </c>
      <c r="F122" s="142"/>
      <c r="G122" s="561"/>
      <c r="H122" s="145" t="s">
        <v>882</v>
      </c>
      <c r="I122" s="144" t="s">
        <v>940</v>
      </c>
    </row>
    <row r="123" spans="1:9" x14ac:dyDescent="0.2">
      <c r="A123" s="150"/>
      <c r="B123" s="145" t="s">
        <v>532</v>
      </c>
      <c r="C123" s="151">
        <v>96000</v>
      </c>
      <c r="D123" s="53" t="s">
        <v>885</v>
      </c>
      <c r="E123" s="261">
        <v>96000</v>
      </c>
      <c r="F123" s="151"/>
      <c r="G123" s="135" t="s">
        <v>928</v>
      </c>
      <c r="H123" s="145" t="s">
        <v>882</v>
      </c>
      <c r="I123" s="92"/>
    </row>
    <row r="124" spans="1:9" x14ac:dyDescent="0.2">
      <c r="A124" s="150"/>
      <c r="B124" s="145" t="s">
        <v>10</v>
      </c>
      <c r="C124" s="151">
        <v>40000</v>
      </c>
      <c r="D124" s="53" t="s">
        <v>959</v>
      </c>
      <c r="E124" s="261">
        <v>40000</v>
      </c>
      <c r="F124" s="151"/>
      <c r="G124" s="135" t="s">
        <v>1116</v>
      </c>
      <c r="H124" s="145" t="s">
        <v>952</v>
      </c>
      <c r="I124" s="92" t="s">
        <v>1076</v>
      </c>
    </row>
    <row r="125" spans="1:9" x14ac:dyDescent="0.2">
      <c r="A125" s="150"/>
      <c r="B125" s="145" t="s">
        <v>263</v>
      </c>
      <c r="C125" s="151">
        <v>20200</v>
      </c>
      <c r="D125" s="53" t="s">
        <v>956</v>
      </c>
      <c r="E125" s="261">
        <v>20200</v>
      </c>
      <c r="F125" s="151"/>
      <c r="G125" s="135" t="s">
        <v>1043</v>
      </c>
      <c r="H125" s="145" t="s">
        <v>882</v>
      </c>
      <c r="I125" s="92"/>
    </row>
    <row r="126" spans="1:9" ht="13.5" thickBot="1" x14ac:dyDescent="0.25">
      <c r="A126" s="28" t="s">
        <v>43</v>
      </c>
      <c r="B126" s="29"/>
      <c r="C126" s="56">
        <f>SUM(C121:C125)</f>
        <v>269700</v>
      </c>
      <c r="D126" s="29"/>
      <c r="E126" s="56">
        <f>SUM(E121:E123)</f>
        <v>209500</v>
      </c>
      <c r="F126" s="56">
        <f>SUM(F121:F125)</f>
        <v>0</v>
      </c>
      <c r="G126" s="29"/>
      <c r="H126" s="29"/>
      <c r="I126" s="30"/>
    </row>
    <row r="127" spans="1:9" ht="13.5" thickBot="1" x14ac:dyDescent="0.25"/>
    <row r="128" spans="1:9" ht="21" thickBot="1" x14ac:dyDescent="0.25">
      <c r="A128" s="550" t="s">
        <v>786</v>
      </c>
      <c r="B128" s="551"/>
      <c r="C128" s="551"/>
      <c r="D128" s="551"/>
      <c r="E128" s="551"/>
      <c r="F128" s="551"/>
      <c r="G128" s="551"/>
      <c r="H128" s="551"/>
      <c r="I128" s="552"/>
    </row>
    <row r="129" spans="1:9" ht="20.25" x14ac:dyDescent="0.3">
      <c r="A129" s="39"/>
      <c r="B129" s="13" t="s">
        <v>780</v>
      </c>
      <c r="C129" s="13" t="s">
        <v>781</v>
      </c>
      <c r="D129" s="13" t="s">
        <v>782</v>
      </c>
      <c r="E129" s="14"/>
      <c r="F129" s="14"/>
      <c r="G129" s="13"/>
      <c r="H129" s="13"/>
      <c r="I129" s="37"/>
    </row>
    <row r="130" spans="1:9" ht="20.25" x14ac:dyDescent="0.3">
      <c r="A130" s="39" t="s">
        <v>784</v>
      </c>
      <c r="B130" s="207">
        <v>101125</v>
      </c>
      <c r="C130" s="207">
        <f>C152+(0.03*C152)</f>
        <v>79482.776526000001</v>
      </c>
      <c r="D130" s="207">
        <v>143750</v>
      </c>
      <c r="E130" s="155"/>
      <c r="F130" s="14"/>
      <c r="G130" s="13"/>
      <c r="H130" s="13"/>
      <c r="I130" s="37"/>
    </row>
    <row r="131" spans="1:9" ht="20.25" x14ac:dyDescent="0.3">
      <c r="A131" s="39" t="s">
        <v>36</v>
      </c>
      <c r="B131" s="18">
        <f>IF(B157&gt;B130,B130,B157)</f>
        <v>0</v>
      </c>
      <c r="C131" s="18">
        <f>IF(C157&gt;C130,C130,C157)</f>
        <v>79482.776526000001</v>
      </c>
      <c r="D131" s="18">
        <f>IF(D157&gt;D130,D130,D157)</f>
        <v>143750</v>
      </c>
      <c r="E131" s="14"/>
      <c r="F131" s="14"/>
      <c r="G131" s="13"/>
      <c r="H131" s="13"/>
      <c r="I131" s="37"/>
    </row>
    <row r="132" spans="1:9" ht="20.25" x14ac:dyDescent="0.3">
      <c r="A132" s="39" t="s">
        <v>785</v>
      </c>
      <c r="B132" s="18">
        <f>SUM(B130:B131)</f>
        <v>101125</v>
      </c>
      <c r="C132" s="18">
        <f>SUM(C130:C131)</f>
        <v>158965.553052</v>
      </c>
      <c r="D132" s="18">
        <f>SUM(D130:D131)</f>
        <v>287500</v>
      </c>
      <c r="E132" s="125" t="s">
        <v>107</v>
      </c>
      <c r="F132" s="14"/>
      <c r="G132" s="13"/>
      <c r="H132" s="13"/>
      <c r="I132" s="37"/>
    </row>
    <row r="133" spans="1:9" ht="20.25" x14ac:dyDescent="0.3">
      <c r="A133" s="39" t="s">
        <v>47</v>
      </c>
      <c r="B133" s="18">
        <f>B157</f>
        <v>0</v>
      </c>
      <c r="C133" s="18">
        <f>IF(C158&gt;C152,C152,C158)</f>
        <v>77167.744200000001</v>
      </c>
      <c r="D133" s="18">
        <f>IF(D158&gt;D152,D152,D158)</f>
        <v>132071.04000000001</v>
      </c>
      <c r="E133" s="14"/>
      <c r="F133" s="14"/>
      <c r="G133" s="13"/>
      <c r="H133" s="13"/>
      <c r="I133" s="37"/>
    </row>
    <row r="134" spans="1:9" ht="20.25" x14ac:dyDescent="0.3">
      <c r="A134" s="39" t="s">
        <v>479</v>
      </c>
      <c r="B134" s="18">
        <f>B132+B133</f>
        <v>101125</v>
      </c>
      <c r="C134" s="18">
        <f>C133+C130</f>
        <v>156650.52072600002</v>
      </c>
      <c r="D134" s="18">
        <f>D133+D130</f>
        <v>275821.04000000004</v>
      </c>
      <c r="E134" s="146" t="s">
        <v>108</v>
      </c>
      <c r="F134" s="14"/>
      <c r="G134" s="13"/>
      <c r="H134" s="13"/>
      <c r="I134" s="37"/>
    </row>
    <row r="135" spans="1:9" ht="20.25" x14ac:dyDescent="0.3">
      <c r="A135" s="39" t="s">
        <v>39</v>
      </c>
      <c r="B135" s="18">
        <f>B132-E140</f>
        <v>0</v>
      </c>
      <c r="C135" s="18">
        <f>C132-E144</f>
        <v>107535.273052</v>
      </c>
      <c r="D135" s="18">
        <f>D132-E148</f>
        <v>265358</v>
      </c>
      <c r="E135" s="146" t="s">
        <v>109</v>
      </c>
      <c r="F135" s="14"/>
      <c r="G135" s="13"/>
      <c r="H135" s="13"/>
      <c r="I135" s="37"/>
    </row>
    <row r="136" spans="1:9" x14ac:dyDescent="0.2">
      <c r="A136" s="39" t="s">
        <v>132</v>
      </c>
      <c r="B136" s="38">
        <f>B134-E140-F140</f>
        <v>0</v>
      </c>
      <c r="C136" s="38">
        <f>C134-E144-F144</f>
        <v>105220.24072600002</v>
      </c>
      <c r="D136" s="44">
        <f>D134-E148-F148</f>
        <v>253679.04000000004</v>
      </c>
      <c r="E136" s="554" t="s">
        <v>110</v>
      </c>
      <c r="F136" s="555"/>
      <c r="G136" s="555"/>
      <c r="H136" s="555"/>
      <c r="I136" s="37"/>
    </row>
    <row r="137" spans="1:9" ht="21" thickBot="1" x14ac:dyDescent="0.35">
      <c r="A137" s="39"/>
      <c r="B137" s="13"/>
      <c r="C137" s="13"/>
      <c r="D137" s="13"/>
      <c r="E137" s="14"/>
      <c r="F137" s="14"/>
      <c r="G137" s="13"/>
      <c r="H137" s="13"/>
      <c r="I137" s="37"/>
    </row>
    <row r="138" spans="1:9" ht="25.5" x14ac:dyDescent="0.2">
      <c r="A138" s="19" t="s">
        <v>41</v>
      </c>
      <c r="B138" s="20" t="s">
        <v>34</v>
      </c>
      <c r="C138" s="20" t="s">
        <v>64</v>
      </c>
      <c r="D138" s="20" t="s">
        <v>63</v>
      </c>
      <c r="E138" s="20" t="s">
        <v>37</v>
      </c>
      <c r="F138" s="20" t="s">
        <v>48</v>
      </c>
      <c r="G138" s="20" t="s">
        <v>40</v>
      </c>
      <c r="H138" s="20" t="s">
        <v>38</v>
      </c>
      <c r="I138" s="21" t="s">
        <v>5</v>
      </c>
    </row>
    <row r="139" spans="1:9" x14ac:dyDescent="0.2">
      <c r="A139" s="22" t="s">
        <v>10</v>
      </c>
      <c r="B139" s="23" t="s">
        <v>10</v>
      </c>
      <c r="C139" s="57">
        <v>101125</v>
      </c>
      <c r="D139" s="50">
        <v>44201</v>
      </c>
      <c r="E139" s="57">
        <f>C139</f>
        <v>101125</v>
      </c>
      <c r="G139" s="57" t="s">
        <v>798</v>
      </c>
      <c r="H139" s="23" t="s">
        <v>487</v>
      </c>
      <c r="I139" s="24"/>
    </row>
    <row r="140" spans="1:9" x14ac:dyDescent="0.2">
      <c r="A140" s="25" t="s">
        <v>43</v>
      </c>
      <c r="B140" s="26"/>
      <c r="C140" s="61">
        <f>C139</f>
        <v>101125</v>
      </c>
      <c r="D140" s="26"/>
      <c r="E140" s="265">
        <f>E139</f>
        <v>101125</v>
      </c>
      <c r="F140" s="268"/>
      <c r="G140" s="266" t="str">
        <f>G139</f>
        <v>21-025</v>
      </c>
      <c r="H140" s="26" t="s">
        <v>487</v>
      </c>
      <c r="I140" s="27"/>
    </row>
    <row r="141" spans="1:9" x14ac:dyDescent="0.2">
      <c r="A141" s="33"/>
      <c r="B141" s="33"/>
      <c r="C141" s="59"/>
      <c r="D141" s="33"/>
      <c r="E141" s="59"/>
      <c r="F141" s="267"/>
      <c r="G141" s="33"/>
      <c r="H141" s="33"/>
      <c r="I141" s="33"/>
    </row>
    <row r="142" spans="1:9" x14ac:dyDescent="0.2">
      <c r="A142" s="25" t="s">
        <v>44</v>
      </c>
      <c r="B142" s="26" t="s">
        <v>568</v>
      </c>
      <c r="C142" s="151">
        <v>11081.33</v>
      </c>
      <c r="D142" s="55">
        <v>44285</v>
      </c>
      <c r="E142" s="58">
        <v>11081.33</v>
      </c>
      <c r="F142" s="58"/>
      <c r="G142" s="26" t="s">
        <v>801</v>
      </c>
      <c r="H142" s="26" t="s">
        <v>487</v>
      </c>
      <c r="I142" s="80"/>
    </row>
    <row r="143" spans="1:9" x14ac:dyDescent="0.2">
      <c r="A143" s="25"/>
      <c r="B143" s="26"/>
      <c r="C143" s="58">
        <v>40348.949999999997</v>
      </c>
      <c r="D143" s="51"/>
      <c r="E143" s="58">
        <v>40348.949999999997</v>
      </c>
      <c r="F143" s="58">
        <f>IF(E143="",C143,0)</f>
        <v>0</v>
      </c>
      <c r="G143" s="26" t="s">
        <v>842</v>
      </c>
      <c r="H143" s="26" t="s">
        <v>487</v>
      </c>
      <c r="I143" s="27"/>
    </row>
    <row r="144" spans="1:9" x14ac:dyDescent="0.2">
      <c r="A144" s="25" t="s">
        <v>43</v>
      </c>
      <c r="B144" s="26"/>
      <c r="C144" s="60">
        <f>C142+C143</f>
        <v>51430.28</v>
      </c>
      <c r="D144" s="26"/>
      <c r="E144" s="60">
        <f>E142+E143</f>
        <v>51430.28</v>
      </c>
      <c r="F144" s="60">
        <f>SUM(F142:F143)</f>
        <v>0</v>
      </c>
      <c r="G144" s="26"/>
      <c r="H144" s="26"/>
      <c r="I144" s="27"/>
    </row>
    <row r="145" spans="1:9" x14ac:dyDescent="0.2">
      <c r="A145" s="33"/>
      <c r="B145" s="33"/>
      <c r="C145" s="59"/>
      <c r="D145" s="33"/>
      <c r="E145" s="59"/>
      <c r="F145" s="59"/>
      <c r="G145" s="33"/>
      <c r="H145" s="33"/>
      <c r="I145" s="33"/>
    </row>
    <row r="146" spans="1:9" x14ac:dyDescent="0.2">
      <c r="A146" s="25" t="s">
        <v>42</v>
      </c>
      <c r="B146" s="135" t="s">
        <v>10</v>
      </c>
      <c r="C146" s="142">
        <v>5000</v>
      </c>
      <c r="D146" s="136" t="s">
        <v>853</v>
      </c>
      <c r="E146" s="142">
        <v>5000</v>
      </c>
      <c r="F146" s="142">
        <f>C146-E146</f>
        <v>0</v>
      </c>
      <c r="G146" s="135" t="s">
        <v>856</v>
      </c>
      <c r="H146" s="26" t="s">
        <v>846</v>
      </c>
      <c r="I146" s="43"/>
    </row>
    <row r="147" spans="1:9" x14ac:dyDescent="0.2">
      <c r="A147" s="150"/>
      <c r="B147" s="145" t="s">
        <v>10</v>
      </c>
      <c r="C147" s="151">
        <v>17142</v>
      </c>
      <c r="D147" s="53" t="s">
        <v>852</v>
      </c>
      <c r="E147" s="151">
        <v>17142</v>
      </c>
      <c r="F147" s="151"/>
      <c r="G147" s="135" t="s">
        <v>944</v>
      </c>
      <c r="H147" s="145" t="s">
        <v>847</v>
      </c>
      <c r="I147" s="92"/>
    </row>
    <row r="148" spans="1:9" ht="13.5" thickBot="1" x14ac:dyDescent="0.25">
      <c r="A148" s="28" t="s">
        <v>43</v>
      </c>
      <c r="B148" s="29"/>
      <c r="C148" s="56">
        <f>SUM(C146:C147)</f>
        <v>22142</v>
      </c>
      <c r="D148" s="29"/>
      <c r="E148" s="56">
        <f>SUM(E146:E147)</f>
        <v>22142</v>
      </c>
      <c r="F148" s="56">
        <f>SUM(F146:F147)</f>
        <v>0</v>
      </c>
      <c r="G148" s="29"/>
      <c r="H148" s="29"/>
      <c r="I148" s="30"/>
    </row>
    <row r="149" spans="1:9" ht="13.5" thickBot="1" x14ac:dyDescent="0.25"/>
    <row r="150" spans="1:9" ht="21" thickBot="1" x14ac:dyDescent="0.25">
      <c r="A150" s="550" t="s">
        <v>703</v>
      </c>
      <c r="B150" s="551"/>
      <c r="C150" s="551"/>
      <c r="D150" s="551"/>
      <c r="E150" s="551"/>
      <c r="F150" s="551"/>
      <c r="G150" s="551"/>
      <c r="H150" s="551"/>
      <c r="I150" s="552"/>
    </row>
    <row r="151" spans="1:9" ht="20.25" x14ac:dyDescent="0.3">
      <c r="A151" s="39"/>
      <c r="B151" s="13" t="s">
        <v>697</v>
      </c>
      <c r="C151" s="13" t="s">
        <v>698</v>
      </c>
      <c r="D151" s="13" t="s">
        <v>699</v>
      </c>
      <c r="E151" s="14"/>
      <c r="F151" s="14"/>
      <c r="G151" s="13"/>
      <c r="H151" s="13"/>
      <c r="I151" s="37"/>
    </row>
    <row r="152" spans="1:9" ht="20.25" x14ac:dyDescent="0.3">
      <c r="A152" s="39" t="s">
        <v>701</v>
      </c>
      <c r="B152" s="207">
        <v>101125</v>
      </c>
      <c r="C152" s="207">
        <f>1.03*74920.14</f>
        <v>77167.744200000001</v>
      </c>
      <c r="D152" s="207">
        <v>143750</v>
      </c>
      <c r="E152" s="155"/>
      <c r="F152" s="14"/>
      <c r="G152" s="13"/>
      <c r="H152" s="13"/>
      <c r="I152" s="37"/>
    </row>
    <row r="153" spans="1:9" ht="20.25" x14ac:dyDescent="0.3">
      <c r="A153" s="39" t="s">
        <v>36</v>
      </c>
      <c r="B153" s="18">
        <f>IF(B189&gt;101125,101125,B189)</f>
        <v>0</v>
      </c>
      <c r="C153" s="18">
        <f>IF(C189&gt;74920.14,74920.14,C189)</f>
        <v>74920.14</v>
      </c>
      <c r="D153" s="18">
        <f>IF(D189&gt;143750,143750,D189)</f>
        <v>143750</v>
      </c>
      <c r="E153" s="14"/>
      <c r="F153" s="14"/>
      <c r="G153" s="13"/>
      <c r="H153" s="13"/>
      <c r="I153" s="37"/>
    </row>
    <row r="154" spans="1:9" ht="20.25" x14ac:dyDescent="0.3">
      <c r="A154" s="39" t="s">
        <v>702</v>
      </c>
      <c r="B154" s="18">
        <f>SUM(B152:B153)</f>
        <v>101125</v>
      </c>
      <c r="C154" s="18">
        <f>SUM(C152:C153)</f>
        <v>152087.8842</v>
      </c>
      <c r="D154" s="18">
        <f>SUM(D152:D153)</f>
        <v>287500</v>
      </c>
      <c r="E154" s="125" t="s">
        <v>107</v>
      </c>
      <c r="F154" s="14"/>
      <c r="G154" s="13"/>
      <c r="H154" s="13"/>
      <c r="I154" s="37"/>
    </row>
    <row r="155" spans="1:9" ht="20.25" x14ac:dyDescent="0.3">
      <c r="A155" s="39" t="s">
        <v>47</v>
      </c>
      <c r="B155" s="18">
        <f>B190</f>
        <v>0</v>
      </c>
      <c r="C155" s="18">
        <f>IF(C190&gt;74920.14,74920.14,C190)</f>
        <v>74920.14</v>
      </c>
      <c r="D155" s="18">
        <f>IF(D190&gt;143750,143750,D190)</f>
        <v>143750</v>
      </c>
      <c r="E155" s="14"/>
      <c r="F155" s="14"/>
      <c r="G155" s="13"/>
      <c r="H155" s="13"/>
      <c r="I155" s="37"/>
    </row>
    <row r="156" spans="1:9" ht="20.25" x14ac:dyDescent="0.3">
      <c r="A156" s="39" t="s">
        <v>479</v>
      </c>
      <c r="B156" s="18">
        <f>B155+B152</f>
        <v>101125</v>
      </c>
      <c r="C156" s="18">
        <f>C155+C152</f>
        <v>152087.8842</v>
      </c>
      <c r="D156" s="18">
        <f>D155+D152</f>
        <v>287500</v>
      </c>
      <c r="E156" s="146" t="s">
        <v>108</v>
      </c>
      <c r="F156" s="14"/>
      <c r="G156" s="13"/>
      <c r="H156" s="13"/>
      <c r="I156" s="37"/>
    </row>
    <row r="157" spans="1:9" ht="20.25" x14ac:dyDescent="0.3">
      <c r="A157" s="39" t="s">
        <v>39</v>
      </c>
      <c r="B157" s="18">
        <f>B154-E162</f>
        <v>0</v>
      </c>
      <c r="C157" s="18">
        <f>C154-E166</f>
        <v>152087.8842</v>
      </c>
      <c r="D157" s="18">
        <f>D154-E180</f>
        <v>151376.04</v>
      </c>
      <c r="E157" s="146" t="s">
        <v>109</v>
      </c>
      <c r="F157" s="14"/>
      <c r="G157" s="13"/>
      <c r="H157" s="13"/>
      <c r="I157" s="37"/>
    </row>
    <row r="158" spans="1:9" x14ac:dyDescent="0.2">
      <c r="A158" s="39" t="s">
        <v>35</v>
      </c>
      <c r="B158" s="38">
        <f>B156-E162-F162</f>
        <v>0</v>
      </c>
      <c r="C158" s="38">
        <f>C156-E166-F166</f>
        <v>152087.8842</v>
      </c>
      <c r="D158" s="44">
        <f>D156-E180-F180</f>
        <v>132071.04000000001</v>
      </c>
      <c r="E158" s="554" t="s">
        <v>110</v>
      </c>
      <c r="F158" s="555"/>
      <c r="G158" s="555"/>
      <c r="H158" s="555"/>
      <c r="I158" s="37"/>
    </row>
    <row r="159" spans="1:9" ht="21" thickBot="1" x14ac:dyDescent="0.35">
      <c r="A159" s="39"/>
      <c r="B159" s="13"/>
      <c r="C159" s="13"/>
      <c r="D159" s="13"/>
      <c r="E159" s="14"/>
      <c r="F159" s="14"/>
      <c r="G159" s="13"/>
      <c r="H159" s="13"/>
      <c r="I159" s="37"/>
    </row>
    <row r="160" spans="1:9" ht="25.5" x14ac:dyDescent="0.2">
      <c r="A160" s="19" t="s">
        <v>41</v>
      </c>
      <c r="B160" s="20" t="s">
        <v>34</v>
      </c>
      <c r="C160" s="20" t="s">
        <v>64</v>
      </c>
      <c r="D160" s="20" t="s">
        <v>63</v>
      </c>
      <c r="E160" s="20" t="s">
        <v>37</v>
      </c>
      <c r="F160" s="20" t="s">
        <v>48</v>
      </c>
      <c r="G160" s="20" t="s">
        <v>40</v>
      </c>
      <c r="H160" s="20" t="s">
        <v>38</v>
      </c>
      <c r="I160" s="21" t="s">
        <v>5</v>
      </c>
    </row>
    <row r="161" spans="1:9" x14ac:dyDescent="0.2">
      <c r="A161" s="22" t="s">
        <v>10</v>
      </c>
      <c r="B161" s="23" t="s">
        <v>10</v>
      </c>
      <c r="C161" s="57">
        <v>101125</v>
      </c>
      <c r="D161" s="50">
        <v>43832</v>
      </c>
      <c r="E161" s="57">
        <f>C161</f>
        <v>101125</v>
      </c>
      <c r="F161" s="57"/>
      <c r="G161" s="23" t="s">
        <v>708</v>
      </c>
      <c r="H161" s="23" t="s">
        <v>487</v>
      </c>
      <c r="I161" s="24"/>
    </row>
    <row r="162" spans="1:9" x14ac:dyDescent="0.2">
      <c r="A162" s="25" t="s">
        <v>43</v>
      </c>
      <c r="B162" s="26"/>
      <c r="C162" s="61">
        <f>C161</f>
        <v>101125</v>
      </c>
      <c r="D162" s="26"/>
      <c r="E162" s="61">
        <f>E161</f>
        <v>101125</v>
      </c>
      <c r="F162" s="61">
        <f>F161</f>
        <v>0</v>
      </c>
      <c r="G162" s="26"/>
      <c r="H162" s="26"/>
      <c r="I162" s="27"/>
    </row>
    <row r="163" spans="1:9" x14ac:dyDescent="0.2">
      <c r="A163" s="33"/>
      <c r="B163" s="33"/>
      <c r="C163" s="59"/>
      <c r="D163" s="33"/>
      <c r="E163" s="59"/>
      <c r="F163" s="59"/>
      <c r="G163" s="33"/>
      <c r="H163" s="33"/>
      <c r="I163" s="33"/>
    </row>
    <row r="164" spans="1:9" x14ac:dyDescent="0.2">
      <c r="A164" s="25" t="s">
        <v>44</v>
      </c>
      <c r="B164" s="26" t="s">
        <v>568</v>
      </c>
      <c r="C164" s="58"/>
      <c r="D164" s="55"/>
      <c r="E164" s="58"/>
      <c r="F164" s="58">
        <f>C164</f>
        <v>0</v>
      </c>
      <c r="G164" s="26"/>
      <c r="H164" s="26" t="s">
        <v>487</v>
      </c>
      <c r="I164" s="80"/>
    </row>
    <row r="165" spans="1:9" x14ac:dyDescent="0.2">
      <c r="A165" s="25"/>
      <c r="B165" s="26"/>
      <c r="C165" s="58"/>
      <c r="D165" s="51"/>
      <c r="E165" s="58"/>
      <c r="F165" s="58">
        <f>IF(E165="",C165,0)</f>
        <v>0</v>
      </c>
      <c r="G165" s="26"/>
      <c r="H165" s="26"/>
      <c r="I165" s="27"/>
    </row>
    <row r="166" spans="1:9" x14ac:dyDescent="0.2">
      <c r="A166" s="25" t="s">
        <v>43</v>
      </c>
      <c r="B166" s="26"/>
      <c r="C166" s="60">
        <f>C164</f>
        <v>0</v>
      </c>
      <c r="D166" s="26"/>
      <c r="E166" s="60">
        <f>E164</f>
        <v>0</v>
      </c>
      <c r="F166" s="60">
        <f>SUM(F164:F165)</f>
        <v>0</v>
      </c>
      <c r="G166" s="26"/>
      <c r="H166" s="26"/>
      <c r="I166" s="27"/>
    </row>
    <row r="167" spans="1:9" x14ac:dyDescent="0.2">
      <c r="A167" s="33"/>
      <c r="B167" s="33"/>
      <c r="C167" s="59"/>
      <c r="D167" s="33"/>
      <c r="E167" s="59"/>
      <c r="F167" s="59"/>
      <c r="G167" s="33"/>
      <c r="H167" s="33"/>
      <c r="I167" s="33"/>
    </row>
    <row r="168" spans="1:9" x14ac:dyDescent="0.2">
      <c r="A168" s="25" t="s">
        <v>42</v>
      </c>
      <c r="B168" s="135"/>
      <c r="C168" s="142"/>
      <c r="D168" s="136"/>
      <c r="E168" s="142"/>
      <c r="F168" s="58">
        <f>C168-E168</f>
        <v>0</v>
      </c>
      <c r="G168" s="135"/>
      <c r="H168" s="26"/>
      <c r="I168" s="43"/>
    </row>
    <row r="169" spans="1:9" x14ac:dyDescent="0.2">
      <c r="A169" s="150"/>
      <c r="B169" s="145" t="s">
        <v>10</v>
      </c>
      <c r="C169" s="151">
        <v>70000</v>
      </c>
      <c r="D169" s="53" t="s">
        <v>721</v>
      </c>
      <c r="E169" s="82">
        <v>50695</v>
      </c>
      <c r="F169" s="58">
        <f>C169-E169</f>
        <v>19305</v>
      </c>
      <c r="G169" s="135" t="s">
        <v>753</v>
      </c>
      <c r="H169" s="145" t="s">
        <v>718</v>
      </c>
      <c r="I169" s="92"/>
    </row>
    <row r="170" spans="1:9" x14ac:dyDescent="0.2">
      <c r="A170" s="150"/>
      <c r="B170" s="145" t="s">
        <v>10</v>
      </c>
      <c r="C170" s="151">
        <v>7000</v>
      </c>
      <c r="D170" s="53" t="s">
        <v>726</v>
      </c>
      <c r="E170" s="82">
        <v>3481</v>
      </c>
      <c r="F170" s="58">
        <f>C170-E170</f>
        <v>3519</v>
      </c>
      <c r="G170" s="135" t="s">
        <v>778</v>
      </c>
      <c r="H170" s="145" t="s">
        <v>719</v>
      </c>
      <c r="I170" s="92" t="s">
        <v>100</v>
      </c>
    </row>
    <row r="171" spans="1:9" x14ac:dyDescent="0.2">
      <c r="A171" s="150"/>
      <c r="B171" s="145"/>
      <c r="C171" s="151"/>
      <c r="D171" s="53"/>
      <c r="E171" s="82"/>
      <c r="F171" s="58">
        <v>-3519</v>
      </c>
      <c r="G171" s="135"/>
      <c r="H171" s="145"/>
      <c r="I171" s="92"/>
    </row>
    <row r="172" spans="1:9" x14ac:dyDescent="0.2">
      <c r="A172" s="150"/>
      <c r="B172" s="145" t="s">
        <v>532</v>
      </c>
      <c r="C172" s="151">
        <v>79840</v>
      </c>
      <c r="D172" s="53" t="s">
        <v>722</v>
      </c>
      <c r="E172" s="82">
        <v>54099.96</v>
      </c>
      <c r="F172" s="58">
        <f>C172-E172</f>
        <v>25740.04</v>
      </c>
      <c r="G172" s="135" t="s">
        <v>772</v>
      </c>
      <c r="H172" s="145" t="s">
        <v>718</v>
      </c>
      <c r="I172" s="92" t="s">
        <v>100</v>
      </c>
    </row>
    <row r="173" spans="1:9" x14ac:dyDescent="0.2">
      <c r="A173" s="150"/>
      <c r="B173" s="145"/>
      <c r="C173" s="151"/>
      <c r="D173" s="53"/>
      <c r="E173" s="82"/>
      <c r="F173" s="58">
        <v>-25740.04</v>
      </c>
      <c r="G173" s="135"/>
      <c r="H173" s="145" t="s">
        <v>718</v>
      </c>
      <c r="I173" s="92" t="s">
        <v>99</v>
      </c>
    </row>
    <row r="174" spans="1:9" x14ac:dyDescent="0.2">
      <c r="A174" s="150"/>
      <c r="B174" s="145" t="s">
        <v>532</v>
      </c>
      <c r="C174" s="151">
        <v>16940</v>
      </c>
      <c r="D174" s="53" t="s">
        <v>741</v>
      </c>
      <c r="E174" s="151">
        <v>14014</v>
      </c>
      <c r="F174" s="58">
        <f>C174-E174</f>
        <v>2926</v>
      </c>
      <c r="G174" s="145" t="s">
        <v>761</v>
      </c>
      <c r="H174" s="145" t="s">
        <v>735</v>
      </c>
      <c r="I174" s="42"/>
    </row>
    <row r="175" spans="1:9" x14ac:dyDescent="0.2">
      <c r="A175" s="150"/>
      <c r="B175" s="145"/>
      <c r="C175" s="151"/>
      <c r="D175" s="53"/>
      <c r="E175" s="151"/>
      <c r="F175" s="58">
        <v>-2926</v>
      </c>
      <c r="G175" s="145"/>
      <c r="H175" s="145"/>
      <c r="I175" s="42"/>
    </row>
    <row r="176" spans="1:9" x14ac:dyDescent="0.2">
      <c r="A176" s="150"/>
      <c r="B176" s="145" t="s">
        <v>10</v>
      </c>
      <c r="C176" s="151">
        <v>20000</v>
      </c>
      <c r="D176" s="53" t="s">
        <v>747</v>
      </c>
      <c r="E176" s="151">
        <v>13834</v>
      </c>
      <c r="F176" s="58">
        <f>C176-E176</f>
        <v>6166</v>
      </c>
      <c r="G176" s="52" t="s">
        <v>778</v>
      </c>
      <c r="H176" s="145" t="s">
        <v>735</v>
      </c>
      <c r="I176" s="42" t="s">
        <v>100</v>
      </c>
    </row>
    <row r="177" spans="1:9" x14ac:dyDescent="0.2">
      <c r="A177" s="150"/>
      <c r="B177" s="145"/>
      <c r="C177" s="151"/>
      <c r="D177" s="53"/>
      <c r="E177" s="151"/>
      <c r="F177" s="58">
        <v>-6166</v>
      </c>
      <c r="G177" s="145"/>
      <c r="H177" s="145"/>
      <c r="I177" s="42" t="s">
        <v>99</v>
      </c>
    </row>
    <row r="178" spans="1:9" x14ac:dyDescent="0.2">
      <c r="A178" s="150"/>
      <c r="B178" s="145"/>
      <c r="C178" s="151"/>
      <c r="D178" s="53"/>
      <c r="E178" s="151"/>
      <c r="F178" s="58"/>
      <c r="G178" s="145"/>
      <c r="H178" s="145"/>
      <c r="I178" s="42"/>
    </row>
    <row r="179" spans="1:9" x14ac:dyDescent="0.2">
      <c r="A179" s="150"/>
      <c r="B179" s="145"/>
      <c r="C179" s="151"/>
      <c r="D179" s="53"/>
      <c r="E179" s="151"/>
      <c r="F179" s="58"/>
      <c r="G179" s="145"/>
      <c r="H179" s="145"/>
      <c r="I179" s="42"/>
    </row>
    <row r="180" spans="1:9" ht="13.5" thickBot="1" x14ac:dyDescent="0.25">
      <c r="A180" s="28" t="s">
        <v>43</v>
      </c>
      <c r="B180" s="29"/>
      <c r="C180" s="56">
        <f>SUM(C168:C179)</f>
        <v>193780</v>
      </c>
      <c r="D180" s="29"/>
      <c r="E180" s="56">
        <f>SUM(E168:E179)</f>
        <v>136123.96</v>
      </c>
      <c r="F180" s="56">
        <f>SUM(F168:F179)</f>
        <v>19305</v>
      </c>
      <c r="G180" s="29"/>
      <c r="H180" s="29"/>
      <c r="I180" s="30"/>
    </row>
    <row r="181" spans="1:9" ht="13.5" thickBot="1" x14ac:dyDescent="0.25"/>
    <row r="182" spans="1:9" ht="21" thickBot="1" x14ac:dyDescent="0.25">
      <c r="A182" s="550" t="s">
        <v>607</v>
      </c>
      <c r="B182" s="551"/>
      <c r="C182" s="551"/>
      <c r="D182" s="551"/>
      <c r="E182" s="551"/>
      <c r="F182" s="551"/>
      <c r="G182" s="551"/>
      <c r="H182" s="551"/>
      <c r="I182" s="552"/>
    </row>
    <row r="183" spans="1:9" ht="20.25" x14ac:dyDescent="0.3">
      <c r="A183" s="39"/>
      <c r="B183" s="13" t="s">
        <v>600</v>
      </c>
      <c r="C183" s="13" t="s">
        <v>601</v>
      </c>
      <c r="D183" s="13" t="s">
        <v>602</v>
      </c>
      <c r="E183" s="14"/>
      <c r="F183" s="14"/>
      <c r="G183" s="13"/>
      <c r="H183" s="13"/>
      <c r="I183" s="37"/>
    </row>
    <row r="184" spans="1:9" ht="20.25" x14ac:dyDescent="0.3">
      <c r="A184" s="39" t="s">
        <v>606</v>
      </c>
      <c r="B184" s="207">
        <v>101125</v>
      </c>
      <c r="C184" s="207">
        <f>1.03*C213</f>
        <v>74920.14</v>
      </c>
      <c r="D184" s="207">
        <v>143750</v>
      </c>
      <c r="E184" s="155"/>
      <c r="F184" s="14"/>
      <c r="G184" s="13"/>
      <c r="H184" s="13"/>
      <c r="I184" s="37"/>
    </row>
    <row r="185" spans="1:9" ht="20.25" x14ac:dyDescent="0.3">
      <c r="A185" s="39" t="s">
        <v>36</v>
      </c>
      <c r="B185" s="18">
        <f>IF(B218&gt;66125,66125,B218)</f>
        <v>0</v>
      </c>
      <c r="C185" s="18">
        <f>IF(C218&gt;72738,72738,C218)</f>
        <v>72738</v>
      </c>
      <c r="D185" s="18">
        <f>IF(D218&gt;143750,143750,D218)</f>
        <v>92700.53</v>
      </c>
      <c r="E185" s="14"/>
      <c r="F185" s="14"/>
      <c r="G185" s="13"/>
      <c r="H185" s="13"/>
      <c r="I185" s="37"/>
    </row>
    <row r="186" spans="1:9" ht="20.25" x14ac:dyDescent="0.3">
      <c r="A186" s="39" t="s">
        <v>603</v>
      </c>
      <c r="B186" s="18">
        <f>SUM(B184:B185)</f>
        <v>101125</v>
      </c>
      <c r="C186" s="18">
        <f>SUM(C184:C185)</f>
        <v>147658.14000000001</v>
      </c>
      <c r="D186" s="18">
        <f>SUM(D184:D185)</f>
        <v>236450.53</v>
      </c>
      <c r="E186" s="125" t="s">
        <v>107</v>
      </c>
      <c r="F186" s="14"/>
      <c r="G186" s="13"/>
      <c r="H186" s="13"/>
      <c r="I186" s="37"/>
    </row>
    <row r="187" spans="1:9" ht="20.25" x14ac:dyDescent="0.3">
      <c r="A187" s="39" t="s">
        <v>47</v>
      </c>
      <c r="B187" s="18">
        <f>B219</f>
        <v>0</v>
      </c>
      <c r="C187" s="18">
        <f>IF(C219&gt;72738,72738,C219)</f>
        <v>72738</v>
      </c>
      <c r="D187" s="18">
        <f>IF(D219&gt;143750,143750,D219)</f>
        <v>75991.790000000037</v>
      </c>
      <c r="E187" s="14"/>
      <c r="F187" s="14"/>
      <c r="G187" s="13"/>
      <c r="H187" s="13"/>
      <c r="I187" s="37"/>
    </row>
    <row r="188" spans="1:9" ht="20.25" x14ac:dyDescent="0.3">
      <c r="A188" s="39" t="s">
        <v>479</v>
      </c>
      <c r="B188" s="18">
        <f>B187+B184</f>
        <v>101125</v>
      </c>
      <c r="C188" s="18">
        <f>C187+C184</f>
        <v>147658.14000000001</v>
      </c>
      <c r="D188" s="18">
        <f>D187+D184</f>
        <v>219741.79000000004</v>
      </c>
      <c r="E188" s="146" t="s">
        <v>108</v>
      </c>
      <c r="F188" s="14"/>
      <c r="G188" s="13"/>
      <c r="H188" s="13"/>
      <c r="I188" s="37"/>
    </row>
    <row r="189" spans="1:9" ht="20.25" x14ac:dyDescent="0.3">
      <c r="A189" s="39" t="s">
        <v>39</v>
      </c>
      <c r="B189" s="18">
        <f>B186-E194</f>
        <v>0</v>
      </c>
      <c r="C189" s="18">
        <f>C186-E198</f>
        <v>133005.74000000002</v>
      </c>
      <c r="D189" s="18">
        <f>D186-E209</f>
        <v>227681.83</v>
      </c>
      <c r="E189" s="146" t="s">
        <v>109</v>
      </c>
      <c r="F189" s="14"/>
      <c r="G189" s="13"/>
      <c r="H189" s="13"/>
      <c r="I189" s="37"/>
    </row>
    <row r="190" spans="1:9" x14ac:dyDescent="0.2">
      <c r="A190" s="39" t="s">
        <v>35</v>
      </c>
      <c r="B190" s="38">
        <f>B188-E194-F194</f>
        <v>0</v>
      </c>
      <c r="C190" s="38">
        <f>C188-E198-F198</f>
        <v>133005.74000000002</v>
      </c>
      <c r="D190" s="44">
        <f>D188-E209-F209</f>
        <v>210973.09000000003</v>
      </c>
      <c r="E190" s="554" t="s">
        <v>110</v>
      </c>
      <c r="F190" s="555"/>
      <c r="G190" s="555"/>
      <c r="H190" s="555"/>
      <c r="I190" s="37"/>
    </row>
    <row r="191" spans="1:9" ht="21" thickBot="1" x14ac:dyDescent="0.35">
      <c r="A191" s="39"/>
      <c r="B191" s="13"/>
      <c r="C191" s="13"/>
      <c r="D191" s="13"/>
      <c r="E191" s="14"/>
      <c r="F191" s="14"/>
      <c r="G191" s="13"/>
      <c r="H191" s="13"/>
      <c r="I191" s="37"/>
    </row>
    <row r="192" spans="1:9" ht="25.5" x14ac:dyDescent="0.2">
      <c r="A192" s="19" t="s">
        <v>41</v>
      </c>
      <c r="B192" s="20" t="s">
        <v>34</v>
      </c>
      <c r="C192" s="20" t="s">
        <v>64</v>
      </c>
      <c r="D192" s="20" t="s">
        <v>63</v>
      </c>
      <c r="E192" s="20" t="s">
        <v>37</v>
      </c>
      <c r="F192" s="20" t="s">
        <v>48</v>
      </c>
      <c r="G192" s="20" t="s">
        <v>40</v>
      </c>
      <c r="H192" s="20" t="s">
        <v>38</v>
      </c>
      <c r="I192" s="21" t="s">
        <v>5</v>
      </c>
    </row>
    <row r="193" spans="1:9" x14ac:dyDescent="0.2">
      <c r="A193" s="22" t="s">
        <v>10</v>
      </c>
      <c r="B193" s="23" t="s">
        <v>10</v>
      </c>
      <c r="C193" s="57">
        <v>101125</v>
      </c>
      <c r="D193" s="50">
        <v>43467</v>
      </c>
      <c r="E193" s="57">
        <f>C193</f>
        <v>101125</v>
      </c>
      <c r="F193" s="57"/>
      <c r="G193" s="23" t="s">
        <v>623</v>
      </c>
      <c r="H193" s="23" t="s">
        <v>487</v>
      </c>
      <c r="I193" s="24"/>
    </row>
    <row r="194" spans="1:9" x14ac:dyDescent="0.2">
      <c r="A194" s="25" t="s">
        <v>43</v>
      </c>
      <c r="B194" s="26"/>
      <c r="C194" s="61">
        <f>C193</f>
        <v>101125</v>
      </c>
      <c r="D194" s="26"/>
      <c r="E194" s="61">
        <f>E193</f>
        <v>101125</v>
      </c>
      <c r="F194" s="61">
        <f>F193</f>
        <v>0</v>
      </c>
      <c r="G194" s="26"/>
      <c r="H194" s="26"/>
      <c r="I194" s="27"/>
    </row>
    <row r="195" spans="1:9" x14ac:dyDescent="0.2">
      <c r="A195" s="33"/>
      <c r="B195" s="33"/>
      <c r="C195" s="59"/>
      <c r="D195" s="33"/>
      <c r="E195" s="59"/>
      <c r="F195" s="59"/>
      <c r="G195" s="33"/>
      <c r="H195" s="33"/>
      <c r="I195" s="33"/>
    </row>
    <row r="196" spans="1:9" x14ac:dyDescent="0.2">
      <c r="A196" s="25" t="s">
        <v>44</v>
      </c>
      <c r="B196" s="26" t="s">
        <v>568</v>
      </c>
      <c r="C196" s="58">
        <v>10202.07</v>
      </c>
      <c r="D196" s="55">
        <v>43735</v>
      </c>
      <c r="E196" s="58">
        <v>10202.07</v>
      </c>
      <c r="F196" s="58"/>
      <c r="G196" s="26" t="s">
        <v>680</v>
      </c>
      <c r="H196" s="26" t="s">
        <v>487</v>
      </c>
      <c r="I196" s="80"/>
    </row>
    <row r="197" spans="1:9" x14ac:dyDescent="0.2">
      <c r="A197" s="25"/>
      <c r="B197" s="26"/>
      <c r="C197" s="58">
        <v>4450.33</v>
      </c>
      <c r="D197" s="55">
        <v>43921</v>
      </c>
      <c r="E197" s="58">
        <v>4450.33</v>
      </c>
      <c r="F197" s="58">
        <f>IF(E197="",C197,0)</f>
        <v>0</v>
      </c>
      <c r="G197" s="26" t="s">
        <v>739</v>
      </c>
      <c r="H197" s="26" t="s">
        <v>487</v>
      </c>
      <c r="I197" s="27"/>
    </row>
    <row r="198" spans="1:9" x14ac:dyDescent="0.2">
      <c r="A198" s="25" t="s">
        <v>43</v>
      </c>
      <c r="B198" s="26"/>
      <c r="C198" s="60">
        <f>SUM(C196:C197)</f>
        <v>14652.4</v>
      </c>
      <c r="D198" s="26"/>
      <c r="E198" s="60">
        <f>SUM(E196:E197)</f>
        <v>14652.4</v>
      </c>
      <c r="F198" s="60">
        <f>SUM(F196:F197)</f>
        <v>0</v>
      </c>
      <c r="G198" s="26"/>
      <c r="H198" s="26"/>
      <c r="I198" s="27"/>
    </row>
    <row r="199" spans="1:9" x14ac:dyDescent="0.2">
      <c r="A199" s="33"/>
      <c r="B199" s="33"/>
      <c r="C199" s="59"/>
      <c r="D199" s="33"/>
      <c r="E199" s="59"/>
      <c r="F199" s="59"/>
      <c r="G199" s="33"/>
      <c r="H199" s="33"/>
      <c r="I199" s="33"/>
    </row>
    <row r="200" spans="1:9" x14ac:dyDescent="0.2">
      <c r="A200" s="25" t="s">
        <v>42</v>
      </c>
      <c r="B200" s="135"/>
      <c r="C200" s="142"/>
      <c r="D200" s="136"/>
      <c r="E200" s="142"/>
      <c r="F200" s="58">
        <f>C200-E200</f>
        <v>0</v>
      </c>
      <c r="G200" s="135"/>
      <c r="H200" s="26"/>
      <c r="I200" s="43"/>
    </row>
    <row r="201" spans="1:9" x14ac:dyDescent="0.2">
      <c r="A201" s="150"/>
      <c r="B201" s="145" t="s">
        <v>568</v>
      </c>
      <c r="C201" s="151">
        <v>11040</v>
      </c>
      <c r="D201" s="53" t="s">
        <v>665</v>
      </c>
      <c r="E201" s="82">
        <v>8768.7000000000007</v>
      </c>
      <c r="F201" s="58">
        <f>C201-E201</f>
        <v>2271.2999999999993</v>
      </c>
      <c r="G201" s="135" t="s">
        <v>676</v>
      </c>
      <c r="H201" s="145" t="s">
        <v>660</v>
      </c>
      <c r="I201" s="92" t="s">
        <v>100</v>
      </c>
    </row>
    <row r="202" spans="1:9" x14ac:dyDescent="0.2">
      <c r="A202" s="150"/>
      <c r="B202" s="145"/>
      <c r="C202" s="151"/>
      <c r="D202" s="53"/>
      <c r="E202" s="82"/>
      <c r="F202" s="58">
        <v>-2271.3000000000002</v>
      </c>
      <c r="G202" s="135"/>
      <c r="H202" s="145"/>
      <c r="I202" s="92" t="s">
        <v>675</v>
      </c>
    </row>
    <row r="203" spans="1:9" x14ac:dyDescent="0.2">
      <c r="A203" s="150"/>
      <c r="B203" s="145"/>
      <c r="C203" s="151"/>
      <c r="D203" s="53"/>
      <c r="E203" s="82"/>
      <c r="F203" s="58"/>
      <c r="G203" s="135"/>
      <c r="H203" s="145"/>
      <c r="I203" s="92"/>
    </row>
    <row r="204" spans="1:9" x14ac:dyDescent="0.2">
      <c r="A204" s="150"/>
      <c r="B204" s="145"/>
      <c r="C204" s="151"/>
      <c r="D204" s="53"/>
      <c r="E204" s="151"/>
      <c r="F204" s="58"/>
      <c r="G204" s="145"/>
      <c r="H204" s="145"/>
      <c r="I204" s="42"/>
    </row>
    <row r="205" spans="1:9" x14ac:dyDescent="0.2">
      <c r="A205" s="150"/>
      <c r="B205" s="145"/>
      <c r="C205" s="151"/>
      <c r="D205" s="53"/>
      <c r="E205" s="151"/>
      <c r="F205" s="58"/>
      <c r="G205" s="52"/>
      <c r="H205" s="145"/>
      <c r="I205" s="42"/>
    </row>
    <row r="206" spans="1:9" x14ac:dyDescent="0.2">
      <c r="A206" s="150"/>
      <c r="B206" s="145"/>
      <c r="C206" s="151"/>
      <c r="D206" s="53"/>
      <c r="E206" s="151"/>
      <c r="F206" s="58"/>
      <c r="G206" s="145"/>
      <c r="H206" s="145"/>
      <c r="I206" s="79"/>
    </row>
    <row r="207" spans="1:9" x14ac:dyDescent="0.2">
      <c r="A207" s="150"/>
      <c r="B207" s="145"/>
      <c r="C207" s="151"/>
      <c r="D207" s="53"/>
      <c r="E207" s="151"/>
      <c r="F207" s="58"/>
      <c r="G207" s="145"/>
      <c r="H207" s="145"/>
      <c r="I207" s="42"/>
    </row>
    <row r="208" spans="1:9" x14ac:dyDescent="0.2">
      <c r="A208" s="150"/>
      <c r="B208" s="145"/>
      <c r="C208" s="151"/>
      <c r="D208" s="53"/>
      <c r="E208" s="151"/>
      <c r="F208" s="58"/>
      <c r="G208" s="145"/>
      <c r="H208" s="145"/>
      <c r="I208" s="42"/>
    </row>
    <row r="209" spans="1:9" ht="13.5" thickBot="1" x14ac:dyDescent="0.25">
      <c r="A209" s="28" t="s">
        <v>43</v>
      </c>
      <c r="B209" s="29"/>
      <c r="C209" s="56">
        <f>SUM(C200:C208)</f>
        <v>11040</v>
      </c>
      <c r="D209" s="29"/>
      <c r="E209" s="56">
        <f>SUM(E200:E208)</f>
        <v>8768.7000000000007</v>
      </c>
      <c r="F209" s="56">
        <f>SUM(F200:F208)</f>
        <v>0</v>
      </c>
      <c r="G209" s="29"/>
      <c r="H209" s="29"/>
      <c r="I209" s="30"/>
    </row>
    <row r="210" spans="1:9" ht="13.5" thickBot="1" x14ac:dyDescent="0.25"/>
    <row r="211" spans="1:9" ht="21" thickBot="1" x14ac:dyDescent="0.25">
      <c r="A211" s="550" t="s">
        <v>478</v>
      </c>
      <c r="B211" s="551"/>
      <c r="C211" s="551"/>
      <c r="D211" s="551"/>
      <c r="E211" s="551"/>
      <c r="F211" s="551"/>
      <c r="G211" s="551"/>
      <c r="H211" s="551"/>
      <c r="I211" s="552"/>
    </row>
    <row r="212" spans="1:9" ht="20.25" x14ac:dyDescent="0.3">
      <c r="A212" s="39"/>
      <c r="B212" s="13" t="s">
        <v>472</v>
      </c>
      <c r="C212" s="13" t="s">
        <v>473</v>
      </c>
      <c r="D212" s="13" t="s">
        <v>474</v>
      </c>
      <c r="E212" s="14"/>
      <c r="F212" s="14"/>
      <c r="G212" s="13"/>
      <c r="H212" s="13"/>
      <c r="I212" s="37"/>
    </row>
    <row r="213" spans="1:9" ht="20.25" x14ac:dyDescent="0.3">
      <c r="A213" s="39" t="s">
        <v>477</v>
      </c>
      <c r="B213" s="207">
        <v>101125</v>
      </c>
      <c r="C213" s="207">
        <v>72738</v>
      </c>
      <c r="D213" s="207">
        <v>143750</v>
      </c>
      <c r="E213" s="155"/>
      <c r="F213" s="14"/>
      <c r="G213" s="13"/>
      <c r="H213" s="13"/>
      <c r="I213" s="37"/>
    </row>
    <row r="214" spans="1:9" ht="20.25" x14ac:dyDescent="0.3">
      <c r="A214" s="39" t="s">
        <v>36</v>
      </c>
      <c r="B214" s="18">
        <f>IF(B250&gt;66125,66125,B250)</f>
        <v>0</v>
      </c>
      <c r="C214" s="18">
        <f>IF(C247&gt;66125,66125,C247)</f>
        <v>66125</v>
      </c>
      <c r="D214" s="18">
        <f>IF(D247&gt;143750,143750,D247)</f>
        <v>143750</v>
      </c>
      <c r="E214" s="14"/>
      <c r="F214" s="14"/>
      <c r="G214" s="13"/>
      <c r="H214" s="13"/>
      <c r="I214" s="37"/>
    </row>
    <row r="215" spans="1:9" ht="20.25" x14ac:dyDescent="0.3">
      <c r="A215" s="39" t="s">
        <v>475</v>
      </c>
      <c r="B215" s="18">
        <f>SUM(B213:B214)</f>
        <v>101125</v>
      </c>
      <c r="C215" s="18">
        <f>SUM(C213:C214)</f>
        <v>138863</v>
      </c>
      <c r="D215" s="18">
        <f>SUM(D213:D214)</f>
        <v>287500</v>
      </c>
      <c r="E215" s="125" t="s">
        <v>107</v>
      </c>
      <c r="F215" s="14"/>
      <c r="G215" s="13"/>
      <c r="H215" s="13"/>
      <c r="I215" s="37"/>
    </row>
    <row r="216" spans="1:9" ht="20.25" x14ac:dyDescent="0.3">
      <c r="A216" s="39" t="s">
        <v>47</v>
      </c>
      <c r="B216" s="18">
        <f>B248</f>
        <v>0</v>
      </c>
      <c r="C216" s="18">
        <f>IF(C248&gt;66125,66125,C248)</f>
        <v>66125</v>
      </c>
      <c r="D216" s="18">
        <f>IF(D248&gt;143750,143750,D248)</f>
        <v>139822.79</v>
      </c>
      <c r="E216" s="14"/>
      <c r="F216" s="14"/>
      <c r="G216" s="13"/>
      <c r="H216" s="13"/>
      <c r="I216" s="37"/>
    </row>
    <row r="217" spans="1:9" ht="20.25" x14ac:dyDescent="0.3">
      <c r="A217" s="39" t="s">
        <v>479</v>
      </c>
      <c r="B217" s="18">
        <f>B216+B213</f>
        <v>101125</v>
      </c>
      <c r="C217" s="18">
        <f>C216+C213</f>
        <v>138863</v>
      </c>
      <c r="D217" s="18">
        <f>D216+D213</f>
        <v>283572.79000000004</v>
      </c>
      <c r="E217" s="146" t="s">
        <v>108</v>
      </c>
      <c r="F217" s="14"/>
      <c r="G217" s="13"/>
      <c r="H217" s="13"/>
      <c r="I217" s="37"/>
    </row>
    <row r="218" spans="1:9" ht="20.25" x14ac:dyDescent="0.3">
      <c r="A218" s="39" t="s">
        <v>39</v>
      </c>
      <c r="B218" s="18">
        <f>B215-E223</f>
        <v>0</v>
      </c>
      <c r="C218" s="18">
        <f>C215-E227</f>
        <v>108687.08</v>
      </c>
      <c r="D218" s="18">
        <f>D215-E240</f>
        <v>92700.53</v>
      </c>
      <c r="E218" s="146" t="s">
        <v>109</v>
      </c>
      <c r="F218" s="14"/>
      <c r="G218" s="13"/>
      <c r="H218" s="13"/>
      <c r="I218" s="37"/>
    </row>
    <row r="219" spans="1:9" x14ac:dyDescent="0.2">
      <c r="A219" s="39" t="s">
        <v>35</v>
      </c>
      <c r="B219" s="38">
        <f>B217-E223-F223</f>
        <v>0</v>
      </c>
      <c r="C219" s="38">
        <f>C217-E227-F227</f>
        <v>108687.08</v>
      </c>
      <c r="D219" s="44">
        <f>D217-E240-F240</f>
        <v>75991.790000000037</v>
      </c>
      <c r="E219" s="554" t="s">
        <v>110</v>
      </c>
      <c r="F219" s="555"/>
      <c r="G219" s="555"/>
      <c r="H219" s="555"/>
      <c r="I219" s="37"/>
    </row>
    <row r="220" spans="1:9" ht="21" thickBot="1" x14ac:dyDescent="0.35">
      <c r="A220" s="39"/>
      <c r="B220" s="13"/>
      <c r="C220" s="13"/>
      <c r="D220" s="13"/>
      <c r="E220" s="14"/>
      <c r="F220" s="14"/>
      <c r="G220" s="13"/>
      <c r="H220" s="13"/>
      <c r="I220" s="37"/>
    </row>
    <row r="221" spans="1:9" ht="25.5" x14ac:dyDescent="0.2">
      <c r="A221" s="19" t="s">
        <v>41</v>
      </c>
      <c r="B221" s="20" t="s">
        <v>34</v>
      </c>
      <c r="C221" s="20" t="s">
        <v>64</v>
      </c>
      <c r="D221" s="20" t="s">
        <v>63</v>
      </c>
      <c r="E221" s="20" t="s">
        <v>37</v>
      </c>
      <c r="F221" s="20" t="s">
        <v>48</v>
      </c>
      <c r="G221" s="20" t="s">
        <v>40</v>
      </c>
      <c r="H221" s="20" t="s">
        <v>38</v>
      </c>
      <c r="I221" s="21" t="s">
        <v>5</v>
      </c>
    </row>
    <row r="222" spans="1:9" x14ac:dyDescent="0.2">
      <c r="A222" s="22" t="s">
        <v>10</v>
      </c>
      <c r="B222" s="23" t="s">
        <v>10</v>
      </c>
      <c r="C222" s="57">
        <v>101125</v>
      </c>
      <c r="D222" s="50"/>
      <c r="E222" s="57">
        <v>101125</v>
      </c>
      <c r="F222" s="57"/>
      <c r="G222" s="23" t="s">
        <v>490</v>
      </c>
      <c r="H222" s="23" t="s">
        <v>491</v>
      </c>
      <c r="I222" s="24"/>
    </row>
    <row r="223" spans="1:9" x14ac:dyDescent="0.2">
      <c r="A223" s="25" t="s">
        <v>43</v>
      </c>
      <c r="B223" s="26"/>
      <c r="C223" s="61">
        <f>C222</f>
        <v>101125</v>
      </c>
      <c r="D223" s="26"/>
      <c r="E223" s="61">
        <f>E222</f>
        <v>101125</v>
      </c>
      <c r="F223" s="61">
        <f>F222</f>
        <v>0</v>
      </c>
      <c r="G223" s="26"/>
      <c r="H223" s="26"/>
      <c r="I223" s="27"/>
    </row>
    <row r="224" spans="1:9" x14ac:dyDescent="0.2">
      <c r="A224" s="33"/>
      <c r="B224" s="33"/>
      <c r="C224" s="59"/>
      <c r="D224" s="33"/>
      <c r="E224" s="59"/>
      <c r="F224" s="59"/>
      <c r="G224" s="33"/>
      <c r="H224" s="33"/>
      <c r="I224" s="33"/>
    </row>
    <row r="225" spans="1:9" x14ac:dyDescent="0.2">
      <c r="A225" s="25" t="s">
        <v>44</v>
      </c>
      <c r="B225" s="26" t="s">
        <v>568</v>
      </c>
      <c r="C225" s="58">
        <v>6600.3</v>
      </c>
      <c r="D225" s="55">
        <v>43374</v>
      </c>
      <c r="E225" s="58">
        <v>6600.3</v>
      </c>
      <c r="F225" s="58"/>
      <c r="G225" s="26" t="s">
        <v>630</v>
      </c>
      <c r="H225" s="26" t="s">
        <v>487</v>
      </c>
      <c r="I225" s="80"/>
    </row>
    <row r="226" spans="1:9" x14ac:dyDescent="0.2">
      <c r="A226" s="25"/>
      <c r="B226" s="26"/>
      <c r="C226" s="58">
        <v>23575.62</v>
      </c>
      <c r="D226" s="51"/>
      <c r="E226" s="58">
        <f>C226</f>
        <v>23575.62</v>
      </c>
      <c r="F226" s="58">
        <f>IF(E226="",C226,0)</f>
        <v>0</v>
      </c>
      <c r="G226" s="26" t="s">
        <v>639</v>
      </c>
      <c r="H226" s="26"/>
      <c r="I226" s="27"/>
    </row>
    <row r="227" spans="1:9" x14ac:dyDescent="0.2">
      <c r="A227" s="25" t="s">
        <v>43</v>
      </c>
      <c r="B227" s="26"/>
      <c r="C227" s="60">
        <f>C225</f>
        <v>6600.3</v>
      </c>
      <c r="D227" s="26"/>
      <c r="E227" s="60">
        <f>E225+E226</f>
        <v>30175.919999999998</v>
      </c>
      <c r="F227" s="60">
        <f>SUM(F225:F226)</f>
        <v>0</v>
      </c>
      <c r="G227" s="26"/>
      <c r="H227" s="26"/>
      <c r="I227" s="27"/>
    </row>
    <row r="228" spans="1:9" x14ac:dyDescent="0.2">
      <c r="A228" s="33"/>
      <c r="B228" s="33"/>
      <c r="C228" s="59"/>
      <c r="D228" s="33"/>
      <c r="E228" s="59"/>
      <c r="F228" s="59"/>
      <c r="G228" s="33"/>
      <c r="H228" s="33"/>
      <c r="I228" s="33"/>
    </row>
    <row r="229" spans="1:9" x14ac:dyDescent="0.2">
      <c r="A229" s="25" t="s">
        <v>42</v>
      </c>
      <c r="B229" s="135"/>
      <c r="C229" s="142"/>
      <c r="D229" s="136"/>
      <c r="E229" s="142"/>
      <c r="F229" s="58">
        <f>C229-E229</f>
        <v>0</v>
      </c>
      <c r="G229" s="135"/>
      <c r="H229" s="26"/>
      <c r="I229" s="43"/>
    </row>
    <row r="230" spans="1:9" x14ac:dyDescent="0.2">
      <c r="A230" s="150"/>
      <c r="B230" s="145" t="s">
        <v>10</v>
      </c>
      <c r="C230" s="151">
        <v>70000</v>
      </c>
      <c r="D230" s="53" t="s">
        <v>509</v>
      </c>
      <c r="E230" s="82">
        <v>57218.47</v>
      </c>
      <c r="F230" s="58">
        <f>C230-E230</f>
        <v>12781.529999999999</v>
      </c>
      <c r="G230" s="135" t="s">
        <v>556</v>
      </c>
      <c r="H230" s="145" t="s">
        <v>507</v>
      </c>
      <c r="I230" s="92" t="s">
        <v>188</v>
      </c>
    </row>
    <row r="231" spans="1:9" x14ac:dyDescent="0.2">
      <c r="A231" s="150"/>
      <c r="B231" s="145"/>
      <c r="C231" s="151"/>
      <c r="D231" s="53"/>
      <c r="E231" s="82">
        <v>10385</v>
      </c>
      <c r="F231" s="58">
        <v>2396.5300000000002</v>
      </c>
      <c r="G231" s="135" t="s">
        <v>592</v>
      </c>
      <c r="H231" s="145" t="s">
        <v>507</v>
      </c>
      <c r="I231" s="92" t="s">
        <v>100</v>
      </c>
    </row>
    <row r="232" spans="1:9" x14ac:dyDescent="0.2">
      <c r="A232" s="150"/>
      <c r="B232" s="145"/>
      <c r="C232" s="151"/>
      <c r="D232" s="53"/>
      <c r="E232" s="82"/>
      <c r="F232" s="58">
        <v>-2396.5300000000002</v>
      </c>
      <c r="G232" s="135"/>
      <c r="H232" s="145" t="s">
        <v>507</v>
      </c>
      <c r="I232" s="92" t="s">
        <v>99</v>
      </c>
    </row>
    <row r="233" spans="1:9" x14ac:dyDescent="0.2">
      <c r="A233" s="150"/>
      <c r="B233" s="145" t="s">
        <v>18</v>
      </c>
      <c r="C233" s="151">
        <v>78100</v>
      </c>
      <c r="D233" s="53" t="s">
        <v>517</v>
      </c>
      <c r="E233" s="151">
        <v>78100</v>
      </c>
      <c r="F233" s="58">
        <f>C233-E233</f>
        <v>0</v>
      </c>
      <c r="G233" s="145" t="s">
        <v>574</v>
      </c>
      <c r="H233" s="145" t="s">
        <v>507</v>
      </c>
      <c r="I233" s="42" t="s">
        <v>100</v>
      </c>
    </row>
    <row r="234" spans="1:9" x14ac:dyDescent="0.2">
      <c r="A234" s="150"/>
      <c r="B234" s="145" t="s">
        <v>10</v>
      </c>
      <c r="C234" s="151">
        <v>2000</v>
      </c>
      <c r="D234" s="53" t="s">
        <v>523</v>
      </c>
      <c r="E234" s="151">
        <v>2000</v>
      </c>
      <c r="F234" s="58">
        <v>0</v>
      </c>
      <c r="G234" s="52" t="s">
        <v>553</v>
      </c>
      <c r="H234" s="145" t="s">
        <v>518</v>
      </c>
      <c r="I234" s="42"/>
    </row>
    <row r="235" spans="1:9" x14ac:dyDescent="0.2">
      <c r="A235" s="150"/>
      <c r="B235" s="145" t="s">
        <v>10</v>
      </c>
      <c r="C235" s="151">
        <v>24000</v>
      </c>
      <c r="D235" s="53" t="s">
        <v>564</v>
      </c>
      <c r="E235" s="151">
        <v>5648</v>
      </c>
      <c r="F235" s="58">
        <f>C235-E235</f>
        <v>18352</v>
      </c>
      <c r="G235" s="145" t="s">
        <v>650</v>
      </c>
      <c r="H235" s="145" t="s">
        <v>558</v>
      </c>
      <c r="I235" s="42" t="s">
        <v>641</v>
      </c>
    </row>
    <row r="236" spans="1:9" x14ac:dyDescent="0.2">
      <c r="A236" s="150"/>
      <c r="B236" s="145"/>
      <c r="C236" s="151"/>
      <c r="D236" s="53"/>
      <c r="E236" s="151"/>
      <c r="F236" s="58">
        <v>-18352</v>
      </c>
      <c r="G236" s="145"/>
      <c r="H236" s="145"/>
      <c r="I236" s="42" t="s">
        <v>99</v>
      </c>
    </row>
    <row r="237" spans="1:9" x14ac:dyDescent="0.2">
      <c r="A237" s="150"/>
      <c r="B237" s="145" t="s">
        <v>10</v>
      </c>
      <c r="C237" s="151">
        <v>30000</v>
      </c>
      <c r="D237" s="53" t="s">
        <v>591</v>
      </c>
      <c r="E237" s="151">
        <v>5648</v>
      </c>
      <c r="F237" s="58">
        <f>C237-E237</f>
        <v>24352</v>
      </c>
      <c r="G237" s="145" t="s">
        <v>649</v>
      </c>
      <c r="H237" s="145" t="s">
        <v>590</v>
      </c>
      <c r="I237" s="42" t="s">
        <v>99</v>
      </c>
    </row>
    <row r="238" spans="1:9" x14ac:dyDescent="0.2">
      <c r="A238" s="150"/>
      <c r="B238" s="145"/>
      <c r="C238" s="151"/>
      <c r="D238" s="53"/>
      <c r="E238" s="151"/>
      <c r="F238" s="58">
        <v>-24352</v>
      </c>
      <c r="G238" s="145"/>
      <c r="H238" s="145"/>
      <c r="I238" s="42" t="s">
        <v>100</v>
      </c>
    </row>
    <row r="239" spans="1:9" x14ac:dyDescent="0.2">
      <c r="A239" s="150"/>
      <c r="B239" s="145" t="s">
        <v>589</v>
      </c>
      <c r="C239" s="151">
        <v>35800</v>
      </c>
      <c r="D239" s="53" t="s">
        <v>597</v>
      </c>
      <c r="E239" s="151">
        <v>35800</v>
      </c>
      <c r="F239" s="58">
        <v>0</v>
      </c>
      <c r="G239" s="145" t="s">
        <v>631</v>
      </c>
      <c r="H239" s="145" t="s">
        <v>590</v>
      </c>
      <c r="I239" s="42" t="s">
        <v>100</v>
      </c>
    </row>
    <row r="240" spans="1:9" ht="13.5" thickBot="1" x14ac:dyDescent="0.25">
      <c r="A240" s="28" t="s">
        <v>43</v>
      </c>
      <c r="B240" s="29"/>
      <c r="C240" s="56">
        <f>SUM(C229:C239)</f>
        <v>239900</v>
      </c>
      <c r="D240" s="29"/>
      <c r="E240" s="56">
        <f>SUM(E229:E239)</f>
        <v>194799.47</v>
      </c>
      <c r="F240" s="56">
        <f>SUM(F229:F239)</f>
        <v>12781.529999999999</v>
      </c>
      <c r="G240" s="29"/>
      <c r="H240" s="29"/>
      <c r="I240" s="30"/>
    </row>
    <row r="242" spans="1:9" ht="13.5" thickBot="1" x14ac:dyDescent="0.25"/>
    <row r="243" spans="1:9" ht="21" thickBot="1" x14ac:dyDescent="0.25">
      <c r="A243" s="550" t="s">
        <v>329</v>
      </c>
      <c r="B243" s="551"/>
      <c r="C243" s="551"/>
      <c r="D243" s="551"/>
      <c r="E243" s="551"/>
      <c r="F243" s="551"/>
      <c r="G243" s="551"/>
      <c r="H243" s="551"/>
      <c r="I243" s="552"/>
    </row>
    <row r="244" spans="1:9" ht="20.25" x14ac:dyDescent="0.3">
      <c r="A244" s="39"/>
      <c r="B244" s="13" t="s">
        <v>322</v>
      </c>
      <c r="C244" s="13" t="s">
        <v>323</v>
      </c>
      <c r="D244" s="13" t="s">
        <v>324</v>
      </c>
      <c r="E244" s="14"/>
      <c r="F244" s="14"/>
      <c r="G244" s="13"/>
      <c r="H244" s="13"/>
      <c r="I244" s="37"/>
    </row>
    <row r="245" spans="1:9" ht="20.25" x14ac:dyDescent="0.3">
      <c r="A245" s="39" t="s">
        <v>328</v>
      </c>
      <c r="B245" s="18">
        <v>66125</v>
      </c>
      <c r="C245" s="18">
        <v>66125</v>
      </c>
      <c r="D245" s="18">
        <v>143750</v>
      </c>
      <c r="E245" s="155"/>
      <c r="F245" s="14"/>
      <c r="G245" s="13"/>
      <c r="H245" s="13"/>
      <c r="I245" s="37"/>
    </row>
    <row r="246" spans="1:9" ht="20.25" x14ac:dyDescent="0.3">
      <c r="A246" s="39" t="s">
        <v>36</v>
      </c>
      <c r="B246" s="18">
        <f>IF(B283&gt;66125,66125,B283)</f>
        <v>0</v>
      </c>
      <c r="C246" s="18">
        <f>IF(C283&gt;66125,66125,C283)</f>
        <v>66125</v>
      </c>
      <c r="D246" s="18">
        <f>IF(D283&gt;143750,143750,D283)</f>
        <v>143750</v>
      </c>
      <c r="E246" s="14"/>
      <c r="F246" s="14"/>
      <c r="G246" s="13"/>
      <c r="H246" s="13"/>
      <c r="I246" s="37"/>
    </row>
    <row r="247" spans="1:9" ht="20.25" x14ac:dyDescent="0.3">
      <c r="A247" s="39" t="s">
        <v>325</v>
      </c>
      <c r="B247" s="18">
        <f>SUM(B245:B246)</f>
        <v>66125</v>
      </c>
      <c r="C247" s="18">
        <f>SUM(C245:C246)</f>
        <v>132250</v>
      </c>
      <c r="D247" s="18">
        <f>SUM(D245:D246)</f>
        <v>287500</v>
      </c>
      <c r="E247" s="125" t="s">
        <v>107</v>
      </c>
      <c r="F247" s="14"/>
      <c r="G247" s="13"/>
      <c r="H247" s="13"/>
      <c r="I247" s="37"/>
    </row>
    <row r="248" spans="1:9" ht="20.25" x14ac:dyDescent="0.3">
      <c r="A248" s="39" t="s">
        <v>47</v>
      </c>
      <c r="B248" s="18">
        <f>B284</f>
        <v>0</v>
      </c>
      <c r="C248" s="18">
        <f>IF(C284&gt;66125,66125,C284)</f>
        <v>66125</v>
      </c>
      <c r="D248" s="18">
        <f>IF(D284&gt;143750,143750,D284)</f>
        <v>139822.79</v>
      </c>
      <c r="E248" s="14"/>
      <c r="F248" s="14"/>
      <c r="G248" s="13"/>
      <c r="H248" s="13"/>
      <c r="I248" s="37"/>
    </row>
    <row r="249" spans="1:9" ht="20.25" x14ac:dyDescent="0.3">
      <c r="A249" s="39" t="s">
        <v>45</v>
      </c>
      <c r="B249" s="18">
        <f>B248+B245</f>
        <v>66125</v>
      </c>
      <c r="C249" s="18">
        <f>C248+C245</f>
        <v>132250</v>
      </c>
      <c r="D249" s="18">
        <f>D248+D245</f>
        <v>283572.79000000004</v>
      </c>
      <c r="E249" s="146" t="s">
        <v>108</v>
      </c>
      <c r="F249" s="14"/>
      <c r="G249" s="13"/>
      <c r="H249" s="13"/>
      <c r="I249" s="37"/>
    </row>
    <row r="250" spans="1:9" ht="20.25" x14ac:dyDescent="0.3">
      <c r="A250" s="39" t="s">
        <v>39</v>
      </c>
      <c r="B250" s="18">
        <f>B247-E255</f>
        <v>0</v>
      </c>
      <c r="C250" s="18">
        <f>C247-E259</f>
        <v>122108.45</v>
      </c>
      <c r="D250" s="18">
        <f>D247-E274</f>
        <v>188790</v>
      </c>
      <c r="E250" s="146" t="s">
        <v>109</v>
      </c>
      <c r="F250" s="14"/>
      <c r="G250" s="13"/>
      <c r="H250" s="13"/>
      <c r="I250" s="37"/>
    </row>
    <row r="251" spans="1:9" x14ac:dyDescent="0.2">
      <c r="A251" s="39" t="s">
        <v>35</v>
      </c>
      <c r="B251" s="38">
        <f>B249-E255-F255</f>
        <v>0</v>
      </c>
      <c r="C251" s="38">
        <f>C249-E259-F259</f>
        <v>122108.45</v>
      </c>
      <c r="D251" s="44">
        <f>D249-E274-F274</f>
        <v>144737.79000000004</v>
      </c>
      <c r="E251" s="554" t="s">
        <v>110</v>
      </c>
      <c r="F251" s="555"/>
      <c r="G251" s="555"/>
      <c r="H251" s="555"/>
      <c r="I251" s="37"/>
    </row>
    <row r="252" spans="1:9" ht="9" customHeight="1" thickBot="1" x14ac:dyDescent="0.35">
      <c r="A252" s="39"/>
      <c r="B252" s="13"/>
      <c r="C252" s="13"/>
      <c r="D252" s="13"/>
      <c r="E252" s="14"/>
      <c r="F252" s="14"/>
      <c r="G252" s="13"/>
      <c r="H252" s="13"/>
      <c r="I252" s="37"/>
    </row>
    <row r="253" spans="1:9" ht="25.5" x14ac:dyDescent="0.2">
      <c r="A253" s="19" t="s">
        <v>41</v>
      </c>
      <c r="B253" s="20" t="s">
        <v>34</v>
      </c>
      <c r="C253" s="20" t="s">
        <v>64</v>
      </c>
      <c r="D253" s="20" t="s">
        <v>63</v>
      </c>
      <c r="E253" s="20" t="s">
        <v>37</v>
      </c>
      <c r="F253" s="20" t="s">
        <v>48</v>
      </c>
      <c r="G253" s="20" t="s">
        <v>40</v>
      </c>
      <c r="H253" s="20" t="s">
        <v>38</v>
      </c>
      <c r="I253" s="21" t="s">
        <v>5</v>
      </c>
    </row>
    <row r="254" spans="1:9" x14ac:dyDescent="0.2">
      <c r="A254" s="22" t="s">
        <v>10</v>
      </c>
      <c r="B254" s="23" t="s">
        <v>10</v>
      </c>
      <c r="C254" s="57">
        <v>66125</v>
      </c>
      <c r="D254" s="50">
        <v>42738</v>
      </c>
      <c r="E254" s="57">
        <v>66125</v>
      </c>
      <c r="F254" s="57"/>
      <c r="G254" s="23" t="s">
        <v>354</v>
      </c>
      <c r="H254" s="23" t="s">
        <v>355</v>
      </c>
      <c r="I254" s="24"/>
    </row>
    <row r="255" spans="1:9" x14ac:dyDescent="0.2">
      <c r="A255" s="25" t="s">
        <v>43</v>
      </c>
      <c r="B255" s="26"/>
      <c r="C255" s="61">
        <f>C254</f>
        <v>66125</v>
      </c>
      <c r="D255" s="26"/>
      <c r="E255" s="61">
        <f>E254</f>
        <v>66125</v>
      </c>
      <c r="F255" s="61">
        <f>F254</f>
        <v>0</v>
      </c>
      <c r="G255" s="26"/>
      <c r="H255" s="26"/>
      <c r="I255" s="27"/>
    </row>
    <row r="256" spans="1:9" x14ac:dyDescent="0.2">
      <c r="A256" s="33"/>
      <c r="B256" s="33"/>
      <c r="C256" s="59"/>
      <c r="D256" s="33"/>
      <c r="E256" s="59"/>
      <c r="F256" s="59"/>
      <c r="G256" s="33"/>
      <c r="H256" s="33"/>
      <c r="I256" s="33"/>
    </row>
    <row r="257" spans="1:9" x14ac:dyDescent="0.2">
      <c r="A257" s="25" t="s">
        <v>44</v>
      </c>
      <c r="B257" s="26" t="s">
        <v>18</v>
      </c>
      <c r="C257" s="58"/>
      <c r="D257" s="55"/>
      <c r="E257" s="58">
        <v>10141.549999999999</v>
      </c>
      <c r="F257" s="58"/>
      <c r="G257" s="26" t="s">
        <v>496</v>
      </c>
      <c r="H257" s="26" t="s">
        <v>497</v>
      </c>
      <c r="I257" s="80"/>
    </row>
    <row r="258" spans="1:9" x14ac:dyDescent="0.2">
      <c r="A258" s="25"/>
      <c r="B258" s="26"/>
      <c r="C258" s="58"/>
      <c r="D258" s="51"/>
      <c r="E258" s="58"/>
      <c r="F258" s="58">
        <f>IF(E258="",C258,0)</f>
        <v>0</v>
      </c>
      <c r="G258" s="26"/>
      <c r="H258" s="26"/>
      <c r="I258" s="27"/>
    </row>
    <row r="259" spans="1:9" x14ac:dyDescent="0.2">
      <c r="A259" s="25" t="s">
        <v>43</v>
      </c>
      <c r="B259" s="26"/>
      <c r="C259" s="60">
        <f>C257</f>
        <v>0</v>
      </c>
      <c r="D259" s="26"/>
      <c r="E259" s="60">
        <f>E257</f>
        <v>10141.549999999999</v>
      </c>
      <c r="F259" s="60">
        <f>SUM(F257:F258)</f>
        <v>0</v>
      </c>
      <c r="G259" s="26"/>
      <c r="H259" s="26"/>
      <c r="I259" s="27"/>
    </row>
    <row r="260" spans="1:9" x14ac:dyDescent="0.2">
      <c r="A260" s="33"/>
      <c r="B260" s="33"/>
      <c r="C260" s="59"/>
      <c r="D260" s="33"/>
      <c r="E260" s="59"/>
      <c r="F260" s="59"/>
      <c r="G260" s="33"/>
      <c r="H260" s="33"/>
      <c r="I260" s="33"/>
    </row>
    <row r="261" spans="1:9" x14ac:dyDescent="0.2">
      <c r="A261" s="25" t="s">
        <v>42</v>
      </c>
      <c r="B261" s="135"/>
      <c r="C261" s="142"/>
      <c r="D261" s="136"/>
      <c r="E261" s="142"/>
      <c r="F261" s="58">
        <f>C261-E261</f>
        <v>0</v>
      </c>
      <c r="G261" s="135"/>
      <c r="H261" s="26"/>
      <c r="I261" s="43"/>
    </row>
    <row r="262" spans="1:9" x14ac:dyDescent="0.2">
      <c r="A262" s="150"/>
      <c r="B262" s="145" t="s">
        <v>18</v>
      </c>
      <c r="C262" s="151">
        <v>31144</v>
      </c>
      <c r="D262" s="53" t="s">
        <v>390</v>
      </c>
      <c r="E262" s="82">
        <v>16990</v>
      </c>
      <c r="F262" s="58">
        <f>C262-E262</f>
        <v>14154</v>
      </c>
      <c r="G262" s="559" t="s">
        <v>458</v>
      </c>
      <c r="H262" s="145" t="s">
        <v>388</v>
      </c>
      <c r="I262" s="92" t="s">
        <v>100</v>
      </c>
    </row>
    <row r="263" spans="1:9" x14ac:dyDescent="0.2">
      <c r="A263" s="150"/>
      <c r="B263" s="145"/>
      <c r="C263" s="151"/>
      <c r="D263" s="53"/>
      <c r="E263" s="82"/>
      <c r="F263" s="58">
        <v>-14154</v>
      </c>
      <c r="G263" s="561"/>
      <c r="H263" s="145"/>
      <c r="I263" s="92" t="s">
        <v>99</v>
      </c>
    </row>
    <row r="264" spans="1:9" x14ac:dyDescent="0.2">
      <c r="A264" s="150"/>
      <c r="B264" s="145" t="s">
        <v>10</v>
      </c>
      <c r="C264" s="151">
        <v>30000</v>
      </c>
      <c r="D264" s="53" t="s">
        <v>394</v>
      </c>
      <c r="E264" s="151">
        <v>17906</v>
      </c>
      <c r="F264" s="58" t="s">
        <v>443</v>
      </c>
      <c r="G264" s="145" t="s">
        <v>424</v>
      </c>
      <c r="H264" s="145" t="s">
        <v>391</v>
      </c>
      <c r="I264" s="42" t="s">
        <v>189</v>
      </c>
    </row>
    <row r="265" spans="1:9" x14ac:dyDescent="0.2">
      <c r="A265" s="150"/>
      <c r="B265" s="145"/>
      <c r="C265" s="151"/>
      <c r="D265" s="53"/>
      <c r="E265" s="151">
        <v>5242</v>
      </c>
      <c r="F265" s="58">
        <v>0</v>
      </c>
      <c r="G265" s="52" t="s">
        <v>446</v>
      </c>
      <c r="H265" s="145" t="s">
        <v>391</v>
      </c>
      <c r="I265" s="42" t="s">
        <v>189</v>
      </c>
    </row>
    <row r="266" spans="1:9" x14ac:dyDescent="0.2">
      <c r="A266" s="150"/>
      <c r="B266" s="145"/>
      <c r="C266" s="151"/>
      <c r="D266" s="53"/>
      <c r="E266" s="151">
        <v>4435</v>
      </c>
      <c r="F266" s="58">
        <f>C264-E264-E265-E266</f>
        <v>2417</v>
      </c>
      <c r="G266" s="52" t="s">
        <v>485</v>
      </c>
      <c r="H266" s="145" t="s">
        <v>391</v>
      </c>
      <c r="I266" s="42" t="s">
        <v>99</v>
      </c>
    </row>
    <row r="267" spans="1:9" x14ac:dyDescent="0.2">
      <c r="A267" s="150"/>
      <c r="B267" s="145"/>
      <c r="C267" s="151"/>
      <c r="D267" s="53"/>
      <c r="E267" s="151"/>
      <c r="F267" s="58">
        <v>-2417</v>
      </c>
      <c r="G267" s="52"/>
      <c r="H267" s="145"/>
      <c r="I267" s="42"/>
    </row>
    <row r="268" spans="1:9" x14ac:dyDescent="0.2">
      <c r="A268" s="150"/>
      <c r="B268" s="145" t="s">
        <v>18</v>
      </c>
      <c r="C268" s="151">
        <v>30696</v>
      </c>
      <c r="D268" s="53" t="s">
        <v>406</v>
      </c>
      <c r="E268" s="151">
        <v>30696</v>
      </c>
      <c r="F268" s="58">
        <f>C268-E268</f>
        <v>0</v>
      </c>
      <c r="G268" s="145" t="s">
        <v>459</v>
      </c>
      <c r="H268" s="145" t="s">
        <v>391</v>
      </c>
      <c r="I268" s="79"/>
    </row>
    <row r="269" spans="1:9" x14ac:dyDescent="0.2">
      <c r="A269" s="150"/>
      <c r="B269" s="559" t="s">
        <v>10</v>
      </c>
      <c r="C269" s="562">
        <v>30000</v>
      </c>
      <c r="D269" s="565" t="s">
        <v>409</v>
      </c>
      <c r="E269" s="151">
        <v>5550</v>
      </c>
      <c r="F269" s="58">
        <f>C269-E269</f>
        <v>24450</v>
      </c>
      <c r="G269" s="145" t="s">
        <v>457</v>
      </c>
      <c r="H269" s="559" t="s">
        <v>112</v>
      </c>
      <c r="I269" s="42" t="s">
        <v>189</v>
      </c>
    </row>
    <row r="270" spans="1:9" x14ac:dyDescent="0.2">
      <c r="A270" s="150"/>
      <c r="B270" s="560"/>
      <c r="C270" s="563"/>
      <c r="D270" s="560"/>
      <c r="E270" s="562">
        <v>2870</v>
      </c>
      <c r="F270" s="58">
        <f>24450-2870</f>
        <v>21580</v>
      </c>
      <c r="G270" s="593" t="s">
        <v>521</v>
      </c>
      <c r="H270" s="560"/>
      <c r="I270" s="42" t="s">
        <v>100</v>
      </c>
    </row>
    <row r="271" spans="1:9" x14ac:dyDescent="0.2">
      <c r="A271" s="150"/>
      <c r="B271" s="561"/>
      <c r="C271" s="564"/>
      <c r="D271" s="561"/>
      <c r="E271" s="564"/>
      <c r="F271" s="58">
        <v>-21580</v>
      </c>
      <c r="G271" s="561"/>
      <c r="H271" s="561"/>
      <c r="I271" s="42" t="s">
        <v>99</v>
      </c>
    </row>
    <row r="272" spans="1:9" x14ac:dyDescent="0.2">
      <c r="A272" s="150"/>
      <c r="B272" s="145" t="s">
        <v>18</v>
      </c>
      <c r="C272" s="151">
        <v>30696</v>
      </c>
      <c r="D272" s="53" t="s">
        <v>409</v>
      </c>
      <c r="E272" s="151">
        <v>15021</v>
      </c>
      <c r="F272" s="58">
        <f>C272-E272</f>
        <v>15675</v>
      </c>
      <c r="G272" s="158" t="s">
        <v>504</v>
      </c>
      <c r="H272" s="145" t="s">
        <v>112</v>
      </c>
      <c r="I272" s="42"/>
    </row>
    <row r="273" spans="1:9" x14ac:dyDescent="0.2">
      <c r="A273" s="150"/>
      <c r="B273" s="145"/>
      <c r="C273" s="151"/>
      <c r="D273" s="53"/>
      <c r="E273" s="151"/>
      <c r="F273" s="151"/>
      <c r="G273" s="145"/>
      <c r="H273" s="145"/>
      <c r="I273" s="42"/>
    </row>
    <row r="274" spans="1:9" ht="13.5" thickBot="1" x14ac:dyDescent="0.25">
      <c r="A274" s="28" t="s">
        <v>43</v>
      </c>
      <c r="B274" s="29"/>
      <c r="C274" s="56">
        <f>SUM(C261:C273)</f>
        <v>152536</v>
      </c>
      <c r="D274" s="29"/>
      <c r="E274" s="56">
        <f>SUM(E261:E272)</f>
        <v>98710</v>
      </c>
      <c r="F274" s="56">
        <f>SUM(F261:F273)</f>
        <v>40125</v>
      </c>
      <c r="G274" s="29"/>
      <c r="H274" s="29"/>
      <c r="I274" s="30"/>
    </row>
    <row r="275" spans="1:9" ht="13.5" thickBot="1" x14ac:dyDescent="0.25"/>
    <row r="276" spans="1:9" ht="21" thickBot="1" x14ac:dyDescent="0.25">
      <c r="A276" s="550" t="s">
        <v>215</v>
      </c>
      <c r="B276" s="551"/>
      <c r="C276" s="551"/>
      <c r="D276" s="551"/>
      <c r="E276" s="551"/>
      <c r="F276" s="551"/>
      <c r="G276" s="551"/>
      <c r="H276" s="551"/>
      <c r="I276" s="552"/>
    </row>
    <row r="277" spans="1:9" ht="20.25" x14ac:dyDescent="0.3">
      <c r="A277" s="39"/>
      <c r="B277" s="13" t="s">
        <v>208</v>
      </c>
      <c r="C277" s="13" t="s">
        <v>209</v>
      </c>
      <c r="D277" s="13" t="s">
        <v>210</v>
      </c>
      <c r="E277" s="14"/>
      <c r="F277" s="14"/>
      <c r="G277" s="13"/>
      <c r="H277" s="13"/>
      <c r="I277" s="37"/>
    </row>
    <row r="278" spans="1:9" ht="20.25" x14ac:dyDescent="0.3">
      <c r="A278" s="39" t="s">
        <v>214</v>
      </c>
      <c r="B278" s="18">
        <v>66125</v>
      </c>
      <c r="C278" s="18">
        <v>66125</v>
      </c>
      <c r="D278" s="18">
        <v>143750</v>
      </c>
      <c r="E278" s="155"/>
      <c r="F278" s="14"/>
      <c r="G278" s="13"/>
      <c r="H278" s="13"/>
      <c r="I278" s="37"/>
    </row>
    <row r="279" spans="1:9" ht="20.25" x14ac:dyDescent="0.3">
      <c r="A279" s="39" t="s">
        <v>36</v>
      </c>
      <c r="B279" s="18">
        <f>IF(B314&gt;66125,66125,B314)</f>
        <v>0</v>
      </c>
      <c r="C279" s="18">
        <f>IF(C314&gt;66125,66125,C314)</f>
        <v>66125</v>
      </c>
      <c r="D279" s="18">
        <f>IF(D314&gt;143750,143750,D314)</f>
        <v>35321.48000000001</v>
      </c>
      <c r="E279" s="14"/>
      <c r="F279" s="14"/>
      <c r="G279" s="13"/>
      <c r="H279" s="13"/>
      <c r="I279" s="37"/>
    </row>
    <row r="280" spans="1:9" ht="20.25" x14ac:dyDescent="0.3">
      <c r="A280" s="39" t="s">
        <v>211</v>
      </c>
      <c r="B280" s="18">
        <f>SUM(B278:B279)</f>
        <v>66125</v>
      </c>
      <c r="C280" s="18">
        <f>SUM(C278:C279)</f>
        <v>132250</v>
      </c>
      <c r="D280" s="18">
        <f>SUM(D278:D279)</f>
        <v>179071.48</v>
      </c>
      <c r="E280" s="125" t="s">
        <v>107</v>
      </c>
      <c r="F280" s="14"/>
      <c r="G280" s="13"/>
      <c r="H280" s="13"/>
      <c r="I280" s="37"/>
    </row>
    <row r="281" spans="1:9" ht="20.25" x14ac:dyDescent="0.3">
      <c r="A281" s="39" t="s">
        <v>47</v>
      </c>
      <c r="B281" s="18">
        <f>B315</f>
        <v>0</v>
      </c>
      <c r="C281" s="18">
        <f>IF(C315&gt;66125,66125,C315)</f>
        <v>66125</v>
      </c>
      <c r="D281" s="18">
        <f>IF(D315&gt;143750,143750,D315)</f>
        <v>32902.94000000001</v>
      </c>
      <c r="E281" s="14"/>
      <c r="F281" s="14"/>
      <c r="G281" s="13"/>
      <c r="H281" s="13"/>
      <c r="I281" s="37"/>
    </row>
    <row r="282" spans="1:9" ht="20.25" x14ac:dyDescent="0.3">
      <c r="A282" s="39" t="s">
        <v>45</v>
      </c>
      <c r="B282" s="18">
        <f>B281+B278</f>
        <v>66125</v>
      </c>
      <c r="C282" s="18">
        <f>C281+C278</f>
        <v>132250</v>
      </c>
      <c r="D282" s="18">
        <f>D281+D278</f>
        <v>176652.94</v>
      </c>
      <c r="E282" s="146" t="s">
        <v>108</v>
      </c>
      <c r="F282" s="14"/>
      <c r="G282" s="13"/>
      <c r="H282" s="13"/>
      <c r="I282" s="37"/>
    </row>
    <row r="283" spans="1:9" ht="20.25" x14ac:dyDescent="0.3">
      <c r="A283" s="39" t="s">
        <v>39</v>
      </c>
      <c r="B283" s="18">
        <f>B280-E288</f>
        <v>0</v>
      </c>
      <c r="C283" s="18">
        <f>C280-E293</f>
        <v>132250</v>
      </c>
      <c r="D283" s="18">
        <f>D280-E304</f>
        <v>144659.87</v>
      </c>
      <c r="E283" s="146" t="s">
        <v>109</v>
      </c>
      <c r="F283" s="14"/>
      <c r="G283" s="13"/>
      <c r="H283" s="13"/>
      <c r="I283" s="37"/>
    </row>
    <row r="284" spans="1:9" x14ac:dyDescent="0.2">
      <c r="A284" s="39" t="s">
        <v>35</v>
      </c>
      <c r="B284" s="38">
        <f>B282-E288-F288</f>
        <v>0</v>
      </c>
      <c r="C284" s="38">
        <f>C282-E293-F293</f>
        <v>126236.86</v>
      </c>
      <c r="D284" s="44">
        <f>D282-E304-F304</f>
        <v>139822.79</v>
      </c>
      <c r="E284" s="554" t="s">
        <v>110</v>
      </c>
      <c r="F284" s="555"/>
      <c r="G284" s="555"/>
      <c r="H284" s="555"/>
      <c r="I284" s="37"/>
    </row>
    <row r="285" spans="1:9" ht="21" thickBot="1" x14ac:dyDescent="0.35">
      <c r="A285" s="39"/>
      <c r="B285" s="13"/>
      <c r="C285" s="13"/>
      <c r="D285" s="13"/>
      <c r="E285" s="14"/>
      <c r="F285" s="14"/>
      <c r="G285" s="13"/>
      <c r="H285" s="13"/>
      <c r="I285" s="37"/>
    </row>
    <row r="286" spans="1:9" ht="25.5" x14ac:dyDescent="0.2">
      <c r="A286" s="19" t="s">
        <v>41</v>
      </c>
      <c r="B286" s="20" t="s">
        <v>34</v>
      </c>
      <c r="C286" s="20" t="s">
        <v>64</v>
      </c>
      <c r="D286" s="20" t="s">
        <v>63</v>
      </c>
      <c r="E286" s="20" t="s">
        <v>37</v>
      </c>
      <c r="F286" s="20" t="s">
        <v>48</v>
      </c>
      <c r="G286" s="20" t="s">
        <v>40</v>
      </c>
      <c r="H286" s="20" t="s">
        <v>38</v>
      </c>
      <c r="I286" s="21" t="s">
        <v>5</v>
      </c>
    </row>
    <row r="287" spans="1:9" x14ac:dyDescent="0.2">
      <c r="A287" s="22" t="s">
        <v>10</v>
      </c>
      <c r="B287" s="23" t="s">
        <v>10</v>
      </c>
      <c r="C287" s="57">
        <v>66125</v>
      </c>
      <c r="D287" s="50">
        <v>42373</v>
      </c>
      <c r="E287" s="57">
        <v>66125</v>
      </c>
      <c r="F287" s="57"/>
      <c r="G287" s="23" t="s">
        <v>227</v>
      </c>
      <c r="H287" s="23" t="s">
        <v>228</v>
      </c>
      <c r="I287" s="24"/>
    </row>
    <row r="288" spans="1:9" x14ac:dyDescent="0.2">
      <c r="A288" s="25" t="s">
        <v>43</v>
      </c>
      <c r="B288" s="26"/>
      <c r="C288" s="61">
        <f>C287</f>
        <v>66125</v>
      </c>
      <c r="D288" s="26"/>
      <c r="E288" s="61">
        <f>E287</f>
        <v>66125</v>
      </c>
      <c r="F288" s="61">
        <f>F287</f>
        <v>0</v>
      </c>
      <c r="G288" s="26"/>
      <c r="H288" s="26"/>
      <c r="I288" s="27"/>
    </row>
    <row r="289" spans="1:9" x14ac:dyDescent="0.2">
      <c r="A289" s="33"/>
      <c r="B289" s="33"/>
      <c r="C289" s="59"/>
      <c r="D289" s="33"/>
      <c r="E289" s="59"/>
      <c r="F289" s="59"/>
      <c r="G289" s="33"/>
      <c r="H289" s="33"/>
      <c r="I289" s="33"/>
    </row>
    <row r="290" spans="1:9" x14ac:dyDescent="0.2">
      <c r="A290" s="25" t="s">
        <v>44</v>
      </c>
      <c r="B290" s="26" t="s">
        <v>18</v>
      </c>
      <c r="C290" s="58">
        <v>6013.14</v>
      </c>
      <c r="D290" s="55">
        <v>42818</v>
      </c>
      <c r="E290" s="58"/>
      <c r="F290" s="58">
        <v>6013.14</v>
      </c>
      <c r="G290" s="26" t="s">
        <v>400</v>
      </c>
      <c r="H290" s="26" t="s">
        <v>395</v>
      </c>
      <c r="I290" s="80"/>
    </row>
    <row r="291" spans="1:9" x14ac:dyDescent="0.2">
      <c r="A291" s="25"/>
      <c r="B291" s="26"/>
      <c r="C291" s="58"/>
      <c r="D291" s="55"/>
      <c r="E291" s="58"/>
      <c r="F291" s="58"/>
      <c r="G291" s="26"/>
      <c r="H291" s="26"/>
      <c r="I291" s="27"/>
    </row>
    <row r="292" spans="1:9" x14ac:dyDescent="0.2">
      <c r="A292" s="25"/>
      <c r="B292" s="26"/>
      <c r="C292" s="58"/>
      <c r="D292" s="51"/>
      <c r="E292" s="58"/>
      <c r="F292" s="58">
        <f>IF(E292="",C292,0)</f>
        <v>0</v>
      </c>
      <c r="G292" s="26"/>
      <c r="H292" s="26"/>
      <c r="I292" s="27"/>
    </row>
    <row r="293" spans="1:9" x14ac:dyDescent="0.2">
      <c r="A293" s="25" t="s">
        <v>43</v>
      </c>
      <c r="B293" s="26"/>
      <c r="C293" s="60">
        <f>C290</f>
        <v>6013.14</v>
      </c>
      <c r="D293" s="26"/>
      <c r="E293" s="60">
        <f>E290</f>
        <v>0</v>
      </c>
      <c r="F293" s="60">
        <f>SUM(F290:F292)</f>
        <v>6013.14</v>
      </c>
      <c r="G293" s="26"/>
      <c r="H293" s="26"/>
      <c r="I293" s="27"/>
    </row>
    <row r="294" spans="1:9" x14ac:dyDescent="0.2">
      <c r="A294" s="33"/>
      <c r="B294" s="33"/>
      <c r="C294" s="59"/>
      <c r="D294" s="33"/>
      <c r="E294" s="59"/>
      <c r="F294" s="59"/>
      <c r="G294" s="33"/>
      <c r="H294" s="33"/>
      <c r="I294" s="33"/>
    </row>
    <row r="295" spans="1:9" x14ac:dyDescent="0.2">
      <c r="A295" s="25" t="s">
        <v>42</v>
      </c>
      <c r="B295" s="135"/>
      <c r="C295" s="142"/>
      <c r="D295" s="136"/>
      <c r="E295" s="142"/>
      <c r="F295" s="58">
        <f>C295-E295</f>
        <v>0</v>
      </c>
      <c r="G295" s="135"/>
      <c r="H295" s="26"/>
      <c r="I295" s="43"/>
    </row>
    <row r="296" spans="1:9" x14ac:dyDescent="0.2">
      <c r="A296" s="150"/>
      <c r="B296" s="145" t="s">
        <v>10</v>
      </c>
      <c r="C296" s="151">
        <v>8000</v>
      </c>
      <c r="D296" s="53" t="s">
        <v>282</v>
      </c>
      <c r="E296" s="82">
        <v>8000</v>
      </c>
      <c r="F296" s="58">
        <f>C296-E296</f>
        <v>0</v>
      </c>
      <c r="G296" s="145" t="s">
        <v>348</v>
      </c>
      <c r="H296" s="145" t="s">
        <v>226</v>
      </c>
      <c r="I296" s="92"/>
    </row>
    <row r="297" spans="1:9" x14ac:dyDescent="0.2">
      <c r="A297" s="591"/>
      <c r="B297" s="559" t="s">
        <v>10</v>
      </c>
      <c r="C297" s="562">
        <v>20000</v>
      </c>
      <c r="D297" s="565" t="s">
        <v>252</v>
      </c>
      <c r="E297" s="562">
        <v>12720</v>
      </c>
      <c r="F297" s="142">
        <f>C297-E297</f>
        <v>7280</v>
      </c>
      <c r="G297" s="559" t="s">
        <v>349</v>
      </c>
      <c r="H297" s="559" t="s">
        <v>246</v>
      </c>
      <c r="I297" s="42" t="s">
        <v>92</v>
      </c>
    </row>
    <row r="298" spans="1:9" x14ac:dyDescent="0.2">
      <c r="A298" s="592"/>
      <c r="B298" s="561"/>
      <c r="C298" s="564"/>
      <c r="D298" s="561"/>
      <c r="E298" s="564"/>
      <c r="F298" s="192">
        <v>-7280</v>
      </c>
      <c r="G298" s="561"/>
      <c r="H298" s="561"/>
      <c r="I298" s="42" t="s">
        <v>438</v>
      </c>
    </row>
    <row r="299" spans="1:9" x14ac:dyDescent="0.2">
      <c r="A299" s="556"/>
      <c r="B299" s="571" t="s">
        <v>10</v>
      </c>
      <c r="C299" s="562">
        <v>12000</v>
      </c>
      <c r="D299" s="565" t="s">
        <v>277</v>
      </c>
      <c r="E299" s="562">
        <v>7257</v>
      </c>
      <c r="F299" s="58">
        <f>C299-E299</f>
        <v>4743</v>
      </c>
      <c r="G299" s="559" t="s">
        <v>419</v>
      </c>
      <c r="H299" s="559" t="s">
        <v>284</v>
      </c>
      <c r="I299" s="144" t="s">
        <v>92</v>
      </c>
    </row>
    <row r="300" spans="1:9" x14ac:dyDescent="0.2">
      <c r="A300" s="558"/>
      <c r="B300" s="572"/>
      <c r="C300" s="564"/>
      <c r="D300" s="561"/>
      <c r="E300" s="564"/>
      <c r="F300" s="58">
        <v>-4743</v>
      </c>
      <c r="G300" s="561"/>
      <c r="H300" s="561"/>
      <c r="I300" s="144" t="s">
        <v>99</v>
      </c>
    </row>
    <row r="301" spans="1:9" x14ac:dyDescent="0.2">
      <c r="A301" s="150"/>
      <c r="B301" s="145" t="s">
        <v>18</v>
      </c>
      <c r="C301" s="151">
        <v>8000</v>
      </c>
      <c r="D301" s="53" t="s">
        <v>230</v>
      </c>
      <c r="E301" s="151">
        <v>5581.46</v>
      </c>
      <c r="F301" s="58">
        <f>C301-E301</f>
        <v>2418.54</v>
      </c>
      <c r="G301" s="145" t="s">
        <v>283</v>
      </c>
      <c r="H301" s="145" t="s">
        <v>226</v>
      </c>
      <c r="I301" s="42" t="s">
        <v>93</v>
      </c>
    </row>
    <row r="302" spans="1:9" x14ac:dyDescent="0.2">
      <c r="A302" s="150"/>
      <c r="B302" s="145"/>
      <c r="C302" s="151"/>
      <c r="D302" s="53"/>
      <c r="E302" s="151">
        <v>853.15</v>
      </c>
      <c r="F302" s="58">
        <f>C301-E301-E302</f>
        <v>1565.3899999999999</v>
      </c>
      <c r="G302" s="145" t="s">
        <v>352</v>
      </c>
      <c r="H302" s="145"/>
      <c r="I302" s="42" t="s">
        <v>92</v>
      </c>
    </row>
    <row r="303" spans="1:9" x14ac:dyDescent="0.2">
      <c r="A303" s="150"/>
      <c r="B303" s="145"/>
      <c r="C303" s="151"/>
      <c r="D303" s="53"/>
      <c r="E303" s="151"/>
      <c r="F303" s="151">
        <v>-1565.39</v>
      </c>
      <c r="G303" s="145"/>
      <c r="H303" s="145"/>
      <c r="I303" s="42" t="s">
        <v>99</v>
      </c>
    </row>
    <row r="304" spans="1:9" ht="13.5" thickBot="1" x14ac:dyDescent="0.25">
      <c r="A304" s="28" t="s">
        <v>43</v>
      </c>
      <c r="B304" s="29"/>
      <c r="C304" s="56">
        <f>SUM(C295:C303)</f>
        <v>48000</v>
      </c>
      <c r="D304" s="29"/>
      <c r="E304" s="56">
        <f>SUM(E295:E303)</f>
        <v>34411.61</v>
      </c>
      <c r="F304" s="56">
        <f>SUM(F295:F303)</f>
        <v>2418.54</v>
      </c>
      <c r="G304" s="29"/>
      <c r="H304" s="29"/>
      <c r="I304" s="30"/>
    </row>
    <row r="306" spans="1:9" ht="13.5" thickBot="1" x14ac:dyDescent="0.25"/>
    <row r="307" spans="1:9" ht="21" thickBot="1" x14ac:dyDescent="0.25">
      <c r="A307" s="550" t="s">
        <v>125</v>
      </c>
      <c r="B307" s="551"/>
      <c r="C307" s="551"/>
      <c r="D307" s="551"/>
      <c r="E307" s="551"/>
      <c r="F307" s="551"/>
      <c r="G307" s="551"/>
      <c r="H307" s="551"/>
      <c r="I307" s="552"/>
    </row>
    <row r="308" spans="1:9" ht="20.25" x14ac:dyDescent="0.3">
      <c r="A308" s="39"/>
      <c r="B308" s="13" t="s">
        <v>118</v>
      </c>
      <c r="C308" s="13" t="s">
        <v>119</v>
      </c>
      <c r="D308" s="13" t="s">
        <v>120</v>
      </c>
      <c r="E308" s="14"/>
      <c r="F308" s="14"/>
      <c r="G308" s="13"/>
      <c r="H308" s="13"/>
      <c r="I308" s="37"/>
    </row>
    <row r="309" spans="1:9" ht="20.25" x14ac:dyDescent="0.3">
      <c r="A309" s="39" t="s">
        <v>124</v>
      </c>
      <c r="B309" s="18">
        <v>66125</v>
      </c>
      <c r="C309" s="18">
        <v>66125</v>
      </c>
      <c r="D309" s="18">
        <v>143750</v>
      </c>
      <c r="E309" s="155" t="s">
        <v>191</v>
      </c>
      <c r="F309" s="14"/>
      <c r="G309" s="13"/>
      <c r="H309" s="13"/>
      <c r="I309" s="37"/>
    </row>
    <row r="310" spans="1:9" ht="20.25" x14ac:dyDescent="0.3">
      <c r="A310" s="39" t="s">
        <v>36</v>
      </c>
      <c r="B310" s="18">
        <v>0</v>
      </c>
      <c r="C310" s="18">
        <v>66125</v>
      </c>
      <c r="D310" s="18">
        <v>1122.6400000000001</v>
      </c>
      <c r="E310" s="14"/>
      <c r="F310" s="14"/>
      <c r="G310" s="13"/>
      <c r="H310" s="13"/>
      <c r="I310" s="37"/>
    </row>
    <row r="311" spans="1:9" ht="20.25" x14ac:dyDescent="0.3">
      <c r="A311" s="39" t="s">
        <v>121</v>
      </c>
      <c r="B311" s="18">
        <f>SUM(B309:B310)</f>
        <v>66125</v>
      </c>
      <c r="C311" s="18">
        <f>SUM(C309:C310)</f>
        <v>132250</v>
      </c>
      <c r="D311" s="18">
        <f>SUM(D309:D310)</f>
        <v>144872.64000000001</v>
      </c>
      <c r="E311" s="125" t="s">
        <v>107</v>
      </c>
      <c r="F311" s="14"/>
      <c r="G311" s="13"/>
      <c r="H311" s="13"/>
      <c r="I311" s="37"/>
    </row>
    <row r="312" spans="1:9" ht="20.25" x14ac:dyDescent="0.3">
      <c r="A312" s="39" t="s">
        <v>47</v>
      </c>
      <c r="B312" s="18">
        <v>0</v>
      </c>
      <c r="C312" s="18">
        <v>66125</v>
      </c>
      <c r="D312" s="18">
        <v>1122.6400000000001</v>
      </c>
      <c r="E312" s="14"/>
      <c r="F312" s="14"/>
      <c r="G312" s="13"/>
      <c r="H312" s="13"/>
      <c r="I312" s="37"/>
    </row>
    <row r="313" spans="1:9" ht="20.25" x14ac:dyDescent="0.3">
      <c r="A313" s="39" t="s">
        <v>45</v>
      </c>
      <c r="B313" s="18">
        <f>B312+B309</f>
        <v>66125</v>
      </c>
      <c r="C313" s="18">
        <f>C312+C309</f>
        <v>132250</v>
      </c>
      <c r="D313" s="18">
        <f>D312+D309</f>
        <v>144872.64000000001</v>
      </c>
      <c r="E313" s="146" t="s">
        <v>108</v>
      </c>
      <c r="F313" s="14"/>
      <c r="G313" s="13"/>
      <c r="H313" s="13"/>
      <c r="I313" s="37"/>
    </row>
    <row r="314" spans="1:9" ht="20.25" x14ac:dyDescent="0.3">
      <c r="A314" s="39" t="s">
        <v>39</v>
      </c>
      <c r="B314" s="18">
        <f>B311-E319</f>
        <v>0</v>
      </c>
      <c r="C314" s="18">
        <f>C311-E324</f>
        <v>125045.7</v>
      </c>
      <c r="D314" s="18">
        <f>D311-E335</f>
        <v>35321.48000000001</v>
      </c>
      <c r="E314" s="146" t="s">
        <v>109</v>
      </c>
      <c r="F314" s="14"/>
      <c r="G314" s="13"/>
      <c r="H314" s="13"/>
      <c r="I314" s="37"/>
    </row>
    <row r="315" spans="1:9" x14ac:dyDescent="0.2">
      <c r="A315" s="39" t="s">
        <v>35</v>
      </c>
      <c r="B315" s="38">
        <f>B313-E319-F319</f>
        <v>0</v>
      </c>
      <c r="C315" s="38">
        <f>C313-E324-F324</f>
        <v>125045.7</v>
      </c>
      <c r="D315" s="44">
        <f>D313-E335-F335</f>
        <v>32902.94000000001</v>
      </c>
      <c r="E315" s="554" t="s">
        <v>110</v>
      </c>
      <c r="F315" s="555"/>
      <c r="G315" s="555"/>
      <c r="H315" s="555"/>
      <c r="I315" s="37"/>
    </row>
    <row r="316" spans="1:9" ht="21" thickBot="1" x14ac:dyDescent="0.35">
      <c r="A316" s="39"/>
      <c r="B316" s="13"/>
      <c r="C316" s="13"/>
      <c r="D316" s="13"/>
      <c r="E316" s="14"/>
      <c r="F316" s="14"/>
      <c r="G316" s="13"/>
      <c r="H316" s="13"/>
      <c r="I316" s="37"/>
    </row>
    <row r="317" spans="1:9" ht="25.5" x14ac:dyDescent="0.2">
      <c r="A317" s="19" t="s">
        <v>41</v>
      </c>
      <c r="B317" s="20" t="s">
        <v>34</v>
      </c>
      <c r="C317" s="20" t="s">
        <v>64</v>
      </c>
      <c r="D317" s="20" t="s">
        <v>63</v>
      </c>
      <c r="E317" s="20" t="s">
        <v>37</v>
      </c>
      <c r="F317" s="20" t="s">
        <v>48</v>
      </c>
      <c r="G317" s="20" t="s">
        <v>40</v>
      </c>
      <c r="H317" s="20" t="s">
        <v>38</v>
      </c>
      <c r="I317" s="21" t="s">
        <v>5</v>
      </c>
    </row>
    <row r="318" spans="1:9" x14ac:dyDescent="0.2">
      <c r="A318" s="22" t="s">
        <v>10</v>
      </c>
      <c r="B318" s="23" t="s">
        <v>10</v>
      </c>
      <c r="C318" s="57">
        <v>66125</v>
      </c>
      <c r="D318" s="50">
        <v>42006</v>
      </c>
      <c r="E318" s="57">
        <v>66125</v>
      </c>
      <c r="F318" s="57">
        <f>IF(E318="",C318,0)</f>
        <v>0</v>
      </c>
      <c r="G318" s="23" t="s">
        <v>175</v>
      </c>
      <c r="H318" s="23" t="s">
        <v>136</v>
      </c>
      <c r="I318" s="24"/>
    </row>
    <row r="319" spans="1:9" x14ac:dyDescent="0.2">
      <c r="A319" s="25" t="s">
        <v>43</v>
      </c>
      <c r="B319" s="26"/>
      <c r="C319" s="61">
        <f>C318</f>
        <v>66125</v>
      </c>
      <c r="D319" s="26"/>
      <c r="E319" s="61">
        <f>E318</f>
        <v>66125</v>
      </c>
      <c r="F319" s="61">
        <f>F318</f>
        <v>0</v>
      </c>
      <c r="G319" s="26"/>
      <c r="H319" s="26"/>
      <c r="I319" s="27"/>
    </row>
    <row r="320" spans="1:9" x14ac:dyDescent="0.2">
      <c r="A320" s="33"/>
      <c r="B320" s="33"/>
      <c r="C320" s="59"/>
      <c r="D320" s="33"/>
      <c r="E320" s="59"/>
      <c r="F320" s="59"/>
      <c r="G320" s="33"/>
      <c r="H320" s="33"/>
      <c r="I320" s="33"/>
    </row>
    <row r="321" spans="1:9" x14ac:dyDescent="0.2">
      <c r="A321" s="25" t="s">
        <v>44</v>
      </c>
      <c r="B321" s="26" t="s">
        <v>18</v>
      </c>
      <c r="C321" s="58">
        <v>7204.3</v>
      </c>
      <c r="D321" s="55">
        <v>42425</v>
      </c>
      <c r="E321" s="58">
        <v>7204.3</v>
      </c>
      <c r="F321" s="58"/>
      <c r="G321" s="26"/>
      <c r="H321" s="26" t="s">
        <v>257</v>
      </c>
      <c r="I321" s="80"/>
    </row>
    <row r="322" spans="1:9" x14ac:dyDescent="0.2">
      <c r="A322" s="25"/>
      <c r="B322" s="26"/>
      <c r="C322" s="58"/>
      <c r="D322" s="55"/>
      <c r="E322" s="58"/>
      <c r="F322" s="58"/>
      <c r="G322" s="26"/>
      <c r="H322" s="26"/>
      <c r="I322" s="27"/>
    </row>
    <row r="323" spans="1:9" x14ac:dyDescent="0.2">
      <c r="A323" s="25"/>
      <c r="B323" s="26"/>
      <c r="C323" s="58"/>
      <c r="D323" s="51"/>
      <c r="E323" s="58"/>
      <c r="F323" s="58">
        <f>IF(E323="",C323,0)</f>
        <v>0</v>
      </c>
      <c r="G323" s="26"/>
      <c r="H323" s="26"/>
      <c r="I323" s="27"/>
    </row>
    <row r="324" spans="1:9" x14ac:dyDescent="0.2">
      <c r="A324" s="25" t="s">
        <v>43</v>
      </c>
      <c r="B324" s="26"/>
      <c r="C324" s="60">
        <f>C321</f>
        <v>7204.3</v>
      </c>
      <c r="D324" s="26"/>
      <c r="E324" s="60">
        <f>E321</f>
        <v>7204.3</v>
      </c>
      <c r="F324" s="60">
        <f>SUM(F321:F323)</f>
        <v>0</v>
      </c>
      <c r="G324" s="26"/>
      <c r="H324" s="26"/>
      <c r="I324" s="27"/>
    </row>
    <row r="325" spans="1:9" x14ac:dyDescent="0.2">
      <c r="A325" s="33"/>
      <c r="B325" s="33"/>
      <c r="C325" s="59"/>
      <c r="D325" s="33"/>
      <c r="E325" s="59"/>
      <c r="F325" s="59"/>
      <c r="G325" s="33"/>
      <c r="H325" s="33"/>
      <c r="I325" s="33"/>
    </row>
    <row r="326" spans="1:9" x14ac:dyDescent="0.2">
      <c r="A326" s="25" t="s">
        <v>42</v>
      </c>
      <c r="B326" s="135"/>
      <c r="C326" s="142"/>
      <c r="D326" s="136"/>
      <c r="E326" s="142"/>
      <c r="F326" s="58">
        <f>C326-E326</f>
        <v>0</v>
      </c>
      <c r="G326" s="135"/>
      <c r="H326" s="26"/>
      <c r="I326" s="43"/>
    </row>
    <row r="327" spans="1:9" x14ac:dyDescent="0.2">
      <c r="A327" s="150"/>
      <c r="B327" s="145" t="s">
        <v>10</v>
      </c>
      <c r="C327" s="151">
        <v>15220</v>
      </c>
      <c r="D327" s="53" t="s">
        <v>149</v>
      </c>
      <c r="E327" s="82">
        <v>15220</v>
      </c>
      <c r="F327" s="58">
        <f>C327-E327</f>
        <v>0</v>
      </c>
      <c r="G327" s="145" t="s">
        <v>166</v>
      </c>
      <c r="H327" s="145" t="s">
        <v>116</v>
      </c>
      <c r="I327" s="92"/>
    </row>
    <row r="328" spans="1:9" x14ac:dyDescent="0.2">
      <c r="A328" s="150"/>
      <c r="B328" s="145" t="s">
        <v>10</v>
      </c>
      <c r="C328" s="151">
        <v>8000</v>
      </c>
      <c r="D328" s="53" t="s">
        <v>148</v>
      </c>
      <c r="E328" s="151">
        <v>8000</v>
      </c>
      <c r="F328" s="58">
        <f>C328-E328</f>
        <v>0</v>
      </c>
      <c r="G328" s="145" t="s">
        <v>183</v>
      </c>
      <c r="H328" s="145" t="s">
        <v>106</v>
      </c>
      <c r="I328" s="42"/>
    </row>
    <row r="329" spans="1:9" x14ac:dyDescent="0.2">
      <c r="A329" s="150"/>
      <c r="B329" s="145" t="s">
        <v>10</v>
      </c>
      <c r="C329" s="151">
        <v>9840</v>
      </c>
      <c r="D329" s="53" t="s">
        <v>155</v>
      </c>
      <c r="E329" s="151">
        <v>9840</v>
      </c>
      <c r="F329" s="58">
        <f>C329-E329</f>
        <v>0</v>
      </c>
      <c r="G329" s="145" t="s">
        <v>181</v>
      </c>
      <c r="H329" s="145" t="s">
        <v>156</v>
      </c>
      <c r="I329" s="79"/>
    </row>
    <row r="330" spans="1:9" x14ac:dyDescent="0.2">
      <c r="A330" s="150"/>
      <c r="B330" s="559" t="s">
        <v>18</v>
      </c>
      <c r="C330" s="562">
        <v>23928</v>
      </c>
      <c r="D330" s="565" t="s">
        <v>182</v>
      </c>
      <c r="E330" s="562">
        <v>23731.16</v>
      </c>
      <c r="F330" s="58">
        <f>C330-E330</f>
        <v>196.84000000000015</v>
      </c>
      <c r="G330" s="559" t="s">
        <v>260</v>
      </c>
      <c r="H330" s="559" t="s">
        <v>178</v>
      </c>
      <c r="I330" s="42" t="s">
        <v>100</v>
      </c>
    </row>
    <row r="331" spans="1:9" x14ac:dyDescent="0.2">
      <c r="A331" s="150"/>
      <c r="B331" s="561"/>
      <c r="C331" s="564"/>
      <c r="D331" s="561"/>
      <c r="E331" s="564"/>
      <c r="F331" s="58">
        <v>-196.84</v>
      </c>
      <c r="G331" s="561"/>
      <c r="H331" s="561"/>
      <c r="I331" s="42" t="s">
        <v>84</v>
      </c>
    </row>
    <row r="332" spans="1:9" x14ac:dyDescent="0.2">
      <c r="A332" s="150"/>
      <c r="B332" s="145" t="s">
        <v>10</v>
      </c>
      <c r="C332" s="151">
        <v>39000</v>
      </c>
      <c r="D332" s="53" t="s">
        <v>194</v>
      </c>
      <c r="E332" s="151">
        <v>39000</v>
      </c>
      <c r="F332" s="58">
        <f>C332-E332</f>
        <v>0</v>
      </c>
      <c r="G332" s="145" t="s">
        <v>205</v>
      </c>
      <c r="H332" s="145" t="s">
        <v>178</v>
      </c>
      <c r="I332" s="42"/>
    </row>
    <row r="333" spans="1:9" x14ac:dyDescent="0.2">
      <c r="A333" s="150"/>
      <c r="B333" s="145" t="s">
        <v>18</v>
      </c>
      <c r="C333" s="151">
        <v>13760</v>
      </c>
      <c r="D333" s="53" t="s">
        <v>229</v>
      </c>
      <c r="E333" s="151">
        <v>13760</v>
      </c>
      <c r="F333" s="151">
        <f>C333-E333</f>
        <v>0</v>
      </c>
      <c r="G333" s="145" t="s">
        <v>233</v>
      </c>
      <c r="H333" s="145" t="s">
        <v>105</v>
      </c>
      <c r="I333" s="42"/>
    </row>
    <row r="334" spans="1:9" x14ac:dyDescent="0.2">
      <c r="A334" s="150"/>
      <c r="B334" s="145" t="s">
        <v>18</v>
      </c>
      <c r="C334" s="151">
        <v>8000</v>
      </c>
      <c r="D334" s="53" t="s">
        <v>230</v>
      </c>
      <c r="E334" s="151">
        <v>5581.46</v>
      </c>
      <c r="F334" s="151">
        <f>8000-E334</f>
        <v>2418.54</v>
      </c>
      <c r="G334" s="145" t="s">
        <v>280</v>
      </c>
      <c r="H334" s="145" t="s">
        <v>225</v>
      </c>
      <c r="I334" s="42" t="s">
        <v>91</v>
      </c>
    </row>
    <row r="335" spans="1:9" ht="13.5" thickBot="1" x14ac:dyDescent="0.25">
      <c r="A335" s="28" t="s">
        <v>43</v>
      </c>
      <c r="B335" s="29"/>
      <c r="C335" s="56">
        <f>SUM(C326:C334)</f>
        <v>117748</v>
      </c>
      <c r="D335" s="29"/>
      <c r="E335" s="56">
        <f>SUM(E326:E333)</f>
        <v>109551.16</v>
      </c>
      <c r="F335" s="56">
        <f>SUM(F326:F334)</f>
        <v>2418.54</v>
      </c>
      <c r="G335" s="29"/>
      <c r="H335" s="29"/>
      <c r="I335" s="30"/>
    </row>
    <row r="337" spans="1:14" ht="18.75" customHeight="1" x14ac:dyDescent="0.3">
      <c r="A337" s="11"/>
      <c r="B337" s="11"/>
      <c r="C337" s="11"/>
      <c r="D337" s="11"/>
      <c r="E337" s="11"/>
      <c r="F337" s="11"/>
      <c r="G337" s="11"/>
      <c r="H337" s="11"/>
      <c r="I337" s="11"/>
      <c r="K337" s="9"/>
      <c r="L337" s="9"/>
      <c r="M337" s="9"/>
      <c r="N337" s="9"/>
    </row>
  </sheetData>
  <mergeCells count="55">
    <mergeCell ref="A2:I2"/>
    <mergeCell ref="E21:E22"/>
    <mergeCell ref="G21:G22"/>
    <mergeCell ref="G24:G25"/>
    <mergeCell ref="H24:H25"/>
    <mergeCell ref="E55:E56"/>
    <mergeCell ref="G55:G56"/>
    <mergeCell ref="A70:I70"/>
    <mergeCell ref="A103:I103"/>
    <mergeCell ref="E111:H111"/>
    <mergeCell ref="G58:G59"/>
    <mergeCell ref="H58:H59"/>
    <mergeCell ref="A128:I128"/>
    <mergeCell ref="E136:H136"/>
    <mergeCell ref="G121:G122"/>
    <mergeCell ref="A150:I150"/>
    <mergeCell ref="E158:H158"/>
    <mergeCell ref="A182:I182"/>
    <mergeCell ref="E190:H190"/>
    <mergeCell ref="A243:I243"/>
    <mergeCell ref="E251:H251"/>
    <mergeCell ref="G262:G263"/>
    <mergeCell ref="A211:I211"/>
    <mergeCell ref="E219:H219"/>
    <mergeCell ref="A276:I276"/>
    <mergeCell ref="E284:H284"/>
    <mergeCell ref="B269:B271"/>
    <mergeCell ref="C269:C271"/>
    <mergeCell ref="D269:D271"/>
    <mergeCell ref="E270:E271"/>
    <mergeCell ref="G270:G271"/>
    <mergeCell ref="H269:H271"/>
    <mergeCell ref="A297:A298"/>
    <mergeCell ref="E299:E300"/>
    <mergeCell ref="B297:B298"/>
    <mergeCell ref="G297:G298"/>
    <mergeCell ref="D299:D300"/>
    <mergeCell ref="A299:A300"/>
    <mergeCell ref="B299:B300"/>
    <mergeCell ref="A36:I36"/>
    <mergeCell ref="H330:H331"/>
    <mergeCell ref="H297:H298"/>
    <mergeCell ref="E297:E298"/>
    <mergeCell ref="D297:D298"/>
    <mergeCell ref="C299:C300"/>
    <mergeCell ref="G299:G300"/>
    <mergeCell ref="C297:C298"/>
    <mergeCell ref="H299:H300"/>
    <mergeCell ref="A307:I307"/>
    <mergeCell ref="B330:B331"/>
    <mergeCell ref="G330:G331"/>
    <mergeCell ref="E330:E331"/>
    <mergeCell ref="D330:D331"/>
    <mergeCell ref="C330:C331"/>
    <mergeCell ref="E315:H315"/>
  </mergeCells>
  <phoneticPr fontId="7" type="noConversion"/>
  <hyperlinks>
    <hyperlink ref="G55:G56" r:id="rId1" display="24-342" xr:uid="{5BB43203-B20E-4892-A0E0-93B6DEE415E3}"/>
    <hyperlink ref="G57" r:id="rId2" xr:uid="{D1975FC1-F52E-4F58-A7A2-3F434CF90EAD}"/>
    <hyperlink ref="G50" r:id="rId3" xr:uid="{BF288451-5739-49F6-8016-304F44635B77}"/>
    <hyperlink ref="G13" r:id="rId4" xr:uid="{295095A5-C95B-4DCB-94B9-4E30E9477B4A}"/>
    <hyperlink ref="D22" r:id="rId5" xr:uid="{80188540-8B8D-4365-B530-A92E47029317}"/>
    <hyperlink ref="D21" r:id="rId6" xr:uid="{0691509C-8512-4BF3-9058-2523B68D5981}"/>
    <hyperlink ref="D20" r:id="rId7" xr:uid="{C7C89A38-4D9B-4729-A3DF-28ADF530A380}"/>
    <hyperlink ref="D16" r:id="rId8" xr:uid="{5EFAEFD0-FD41-49AC-B2A8-1736671A0090}"/>
  </hyperlinks>
  <pageMargins left="0.69" right="0.28999999999999998" top="0.48" bottom="0.44" header="0.5" footer="0.5"/>
  <pageSetup scale="68" orientation="landscape" r:id="rId9"/>
  <headerFooter alignWithMargins="0">
    <oddFooter>&amp;CCurrent as of &amp;D</oddFooter>
  </headerFooter>
  <rowBreaks count="4" manualBreakCount="4">
    <brk id="209" max="16383" man="1"/>
    <brk id="241" max="16383" man="1"/>
    <brk id="274" max="16383" man="1"/>
    <brk id="305" max="16383" man="1"/>
  </rowBreaks>
  <drawing r:id="rId10"/>
  <legacyDrawing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87"/>
  <sheetViews>
    <sheetView showGridLines="0" zoomScaleNormal="100" zoomScaleSheetLayoutView="75" workbookViewId="0">
      <selection activeCell="E7" sqref="E7"/>
    </sheetView>
  </sheetViews>
  <sheetFormatPr defaultRowHeight="12.75" x14ac:dyDescent="0.2"/>
  <cols>
    <col min="1" max="1" width="22.28515625" bestFit="1" customWidth="1"/>
    <col min="2" max="2" width="10.85546875" bestFit="1" customWidth="1"/>
    <col min="3" max="3" width="17" customWidth="1"/>
    <col min="4" max="4" width="12.85546875" customWidth="1"/>
    <col min="5" max="5" width="17.7109375" bestFit="1" customWidth="1"/>
    <col min="6" max="6" width="15.85546875" customWidth="1"/>
    <col min="7" max="7" width="14.28515625" customWidth="1"/>
    <col min="8" max="8" width="11" customWidth="1"/>
    <col min="9" max="9" width="32.28515625" customWidth="1"/>
    <col min="10" max="10" width="23" customWidth="1"/>
  </cols>
  <sheetData>
    <row r="1" spans="1:9" ht="21" thickBot="1" x14ac:dyDescent="0.25">
      <c r="A1" s="550" t="s">
        <v>1235</v>
      </c>
      <c r="B1" s="551"/>
      <c r="C1" s="551"/>
      <c r="D1" s="551"/>
      <c r="E1" s="551"/>
      <c r="F1" s="551"/>
      <c r="G1" s="551"/>
      <c r="H1" s="551"/>
      <c r="I1" s="552"/>
    </row>
    <row r="2" spans="1:9" ht="20.25" x14ac:dyDescent="0.3">
      <c r="A2" s="39"/>
      <c r="B2" s="13" t="s">
        <v>1245</v>
      </c>
      <c r="C2" s="13" t="s">
        <v>1246</v>
      </c>
      <c r="D2" s="13" t="s">
        <v>1247</v>
      </c>
      <c r="E2" s="13" t="s">
        <v>1248</v>
      </c>
      <c r="F2" s="14"/>
      <c r="G2" s="13"/>
      <c r="H2" s="13"/>
      <c r="I2" s="37"/>
    </row>
    <row r="3" spans="1:9" x14ac:dyDescent="0.2">
      <c r="A3" s="39" t="s">
        <v>991</v>
      </c>
      <c r="B3" s="18">
        <f>B31+(B31*0.03)</f>
        <v>48191.3825</v>
      </c>
      <c r="C3" s="18">
        <v>42713</v>
      </c>
      <c r="D3" s="18">
        <f>D31+(D31*0.03)</f>
        <v>42091.207499999997</v>
      </c>
      <c r="E3" s="18">
        <v>2500</v>
      </c>
      <c r="F3" s="146" t="s">
        <v>972</v>
      </c>
      <c r="G3" s="13"/>
      <c r="H3" s="13"/>
      <c r="I3" s="155" t="s">
        <v>973</v>
      </c>
    </row>
    <row r="4" spans="1:9" ht="20.25" x14ac:dyDescent="0.3">
      <c r="A4" s="39" t="s">
        <v>36</v>
      </c>
      <c r="B4" s="18">
        <f>IF(B37&gt;B3,B3,B37)</f>
        <v>0</v>
      </c>
      <c r="C4" s="18">
        <f>IF(C36&gt;C3,C3,C36)</f>
        <v>42713</v>
      </c>
      <c r="D4" s="18">
        <f>IF(D36&gt;D3,D3,D36)</f>
        <v>42091.207499999997</v>
      </c>
      <c r="E4" s="18"/>
      <c r="F4" s="14"/>
      <c r="G4" s="13"/>
      <c r="H4" s="13"/>
      <c r="I4" s="37"/>
    </row>
    <row r="5" spans="1:9" x14ac:dyDescent="0.2">
      <c r="A5" s="39" t="s">
        <v>992</v>
      </c>
      <c r="B5" s="18">
        <f>SUM(B3:B4)</f>
        <v>48191.3825</v>
      </c>
      <c r="C5" s="18">
        <f>SUM(C3:C4)</f>
        <v>85426</v>
      </c>
      <c r="D5" s="18">
        <f>SUM(D3:D4)</f>
        <v>84182.414999999994</v>
      </c>
      <c r="E5" s="18">
        <f>SUM(E3:E4)</f>
        <v>2500</v>
      </c>
      <c r="F5" s="125" t="s">
        <v>107</v>
      </c>
      <c r="G5" s="13"/>
      <c r="H5" s="13"/>
      <c r="I5" s="37"/>
    </row>
    <row r="6" spans="1:9" ht="20.25" x14ac:dyDescent="0.3">
      <c r="A6" s="39" t="s">
        <v>47</v>
      </c>
      <c r="B6" s="18">
        <f>B37</f>
        <v>0</v>
      </c>
      <c r="C6" s="18">
        <f>IF(C37&gt;C3,C3,C37)</f>
        <v>42713</v>
      </c>
      <c r="D6" s="18">
        <f>IF(OR(D37&gt;=D3,D37&lt;D3),D37,D3)</f>
        <v>64065.25</v>
      </c>
      <c r="E6" s="18"/>
      <c r="F6" s="14"/>
      <c r="G6" s="13"/>
      <c r="H6" s="13"/>
      <c r="I6" s="37"/>
    </row>
    <row r="7" spans="1:9" x14ac:dyDescent="0.2">
      <c r="A7" s="39" t="s">
        <v>479</v>
      </c>
      <c r="B7" s="18">
        <f>B6+B3</f>
        <v>48191.3825</v>
      </c>
      <c r="C7" s="18">
        <f>C3+C6</f>
        <v>85426</v>
      </c>
      <c r="D7" s="18">
        <f>D6+D3</f>
        <v>106156.45749999999</v>
      </c>
      <c r="E7" s="18">
        <f>E3</f>
        <v>2500</v>
      </c>
      <c r="F7" s="146" t="s">
        <v>108</v>
      </c>
      <c r="G7" s="13"/>
      <c r="H7" s="13"/>
      <c r="I7" s="37"/>
    </row>
    <row r="8" spans="1:9" x14ac:dyDescent="0.2">
      <c r="A8" s="39" t="s">
        <v>39</v>
      </c>
      <c r="B8" s="18">
        <f>B5-E13</f>
        <v>2.5000000023283064E-3</v>
      </c>
      <c r="C8" s="18">
        <f>C5-E18</f>
        <v>72586.12</v>
      </c>
      <c r="D8" s="18">
        <f>D5-E23-F23</f>
        <v>64182.414999999994</v>
      </c>
      <c r="E8" s="18">
        <f>E3-F23-G23</f>
        <v>2500</v>
      </c>
      <c r="F8" s="146" t="s">
        <v>109</v>
      </c>
      <c r="G8" s="13"/>
      <c r="H8" s="13"/>
      <c r="I8" s="37"/>
    </row>
    <row r="9" spans="1:9" x14ac:dyDescent="0.2">
      <c r="A9" s="39" t="s">
        <v>132</v>
      </c>
      <c r="B9" s="38">
        <f>B7-E13-F13</f>
        <v>2.5000000023283064E-3</v>
      </c>
      <c r="C9" s="38">
        <f>C7-E18-F18</f>
        <v>72586.12</v>
      </c>
      <c r="D9" s="44">
        <f>D7-E23-F23</f>
        <v>86156.45749999999</v>
      </c>
      <c r="E9" s="44">
        <f>E7-E27-F27</f>
        <v>2500</v>
      </c>
      <c r="F9" s="146" t="s">
        <v>110</v>
      </c>
      <c r="G9" s="140"/>
      <c r="H9" s="140"/>
      <c r="I9" s="140"/>
    </row>
    <row r="10" spans="1:9" ht="21" thickBot="1" x14ac:dyDescent="0.35">
      <c r="A10" s="39"/>
      <c r="B10" s="13"/>
      <c r="C10" s="13"/>
      <c r="D10" s="13"/>
      <c r="E10" s="14"/>
      <c r="F10" s="14"/>
      <c r="G10" s="13"/>
      <c r="H10" s="13"/>
      <c r="I10" s="37"/>
    </row>
    <row r="11" spans="1:9" ht="51" x14ac:dyDescent="0.2">
      <c r="A11" s="19" t="s">
        <v>41</v>
      </c>
      <c r="B11" s="20" t="s">
        <v>34</v>
      </c>
      <c r="C11" s="20" t="s">
        <v>64</v>
      </c>
      <c r="D11" s="20" t="s">
        <v>63</v>
      </c>
      <c r="E11" s="20" t="s">
        <v>37</v>
      </c>
      <c r="F11" s="20" t="s">
        <v>48</v>
      </c>
      <c r="G11" s="20" t="s">
        <v>40</v>
      </c>
      <c r="H11" s="20" t="s">
        <v>38</v>
      </c>
      <c r="I11" s="21" t="s">
        <v>5</v>
      </c>
    </row>
    <row r="12" spans="1:9" x14ac:dyDescent="0.2">
      <c r="A12" s="22" t="s">
        <v>10</v>
      </c>
      <c r="B12" s="23"/>
      <c r="C12" s="57">
        <v>48191.38</v>
      </c>
      <c r="D12" s="50"/>
      <c r="E12" s="57">
        <v>48191.38</v>
      </c>
      <c r="F12" s="57"/>
      <c r="G12" s="485" t="s">
        <v>1242</v>
      </c>
      <c r="H12" s="23"/>
      <c r="I12" s="24"/>
    </row>
    <row r="13" spans="1:9" x14ac:dyDescent="0.2">
      <c r="A13" s="25" t="s">
        <v>43</v>
      </c>
      <c r="B13" s="26"/>
      <c r="C13" s="61">
        <f>C12</f>
        <v>48191.38</v>
      </c>
      <c r="D13" s="55"/>
      <c r="E13" s="61">
        <f>E12</f>
        <v>48191.38</v>
      </c>
      <c r="F13" s="61">
        <f>F12</f>
        <v>0</v>
      </c>
      <c r="G13" s="26"/>
      <c r="H13" s="26"/>
      <c r="I13" s="27"/>
    </row>
    <row r="14" spans="1:9" x14ac:dyDescent="0.2">
      <c r="A14" s="33"/>
      <c r="B14" s="33"/>
      <c r="C14" s="59"/>
      <c r="D14" s="123"/>
      <c r="E14" s="59"/>
      <c r="F14" s="59"/>
      <c r="G14" s="33"/>
      <c r="H14" s="33"/>
      <c r="I14" s="33"/>
    </row>
    <row r="15" spans="1:9" x14ac:dyDescent="0.2">
      <c r="A15" s="25" t="s">
        <v>44</v>
      </c>
      <c r="B15" s="219"/>
      <c r="C15" s="458"/>
      <c r="D15" s="488" t="s">
        <v>1257</v>
      </c>
      <c r="E15" s="458">
        <v>12839.88</v>
      </c>
      <c r="F15" s="151"/>
      <c r="G15" s="460"/>
      <c r="H15" s="26"/>
      <c r="I15" s="85"/>
    </row>
    <row r="16" spans="1:9" x14ac:dyDescent="0.2">
      <c r="A16" s="25"/>
      <c r="B16" s="325"/>
      <c r="C16" s="58"/>
      <c r="D16" s="326"/>
      <c r="E16" s="58"/>
      <c r="F16" s="151"/>
      <c r="G16" s="26"/>
      <c r="H16" s="26"/>
      <c r="I16" s="85"/>
    </row>
    <row r="17" spans="1:9" x14ac:dyDescent="0.2">
      <c r="A17" s="25"/>
      <c r="B17" s="325"/>
      <c r="C17" s="58"/>
      <c r="D17" s="326"/>
      <c r="E17" s="278"/>
      <c r="F17" s="151"/>
      <c r="G17" s="26"/>
      <c r="H17" s="26"/>
      <c r="I17" s="85"/>
    </row>
    <row r="18" spans="1:9" x14ac:dyDescent="0.2">
      <c r="A18" s="25" t="s">
        <v>43</v>
      </c>
      <c r="B18" s="26"/>
      <c r="C18" s="327">
        <f>C15+C16</f>
        <v>0</v>
      </c>
      <c r="D18" s="55"/>
      <c r="E18" s="60">
        <f>E15+E16</f>
        <v>12839.88</v>
      </c>
      <c r="F18" s="60">
        <f>F15</f>
        <v>0</v>
      </c>
      <c r="G18" s="26"/>
      <c r="H18" s="26"/>
      <c r="I18" s="27"/>
    </row>
    <row r="19" spans="1:9" x14ac:dyDescent="0.2">
      <c r="A19" s="33"/>
      <c r="B19" s="33"/>
      <c r="C19" s="59"/>
      <c r="D19" s="123"/>
      <c r="E19" s="59"/>
      <c r="F19" s="59"/>
      <c r="G19" s="33"/>
      <c r="H19" s="33"/>
      <c r="I19" s="33"/>
    </row>
    <row r="20" spans="1:9" x14ac:dyDescent="0.2">
      <c r="A20" s="150" t="s">
        <v>42</v>
      </c>
      <c r="B20" s="149"/>
      <c r="C20" s="151"/>
      <c r="D20" s="53"/>
      <c r="E20" s="151">
        <v>20000</v>
      </c>
      <c r="F20" s="151"/>
      <c r="G20" s="145"/>
      <c r="H20" s="145"/>
      <c r="I20" s="42"/>
    </row>
    <row r="21" spans="1:9" x14ac:dyDescent="0.2">
      <c r="A21" s="150"/>
      <c r="B21" s="149"/>
      <c r="C21" s="151"/>
      <c r="D21" s="53"/>
      <c r="E21" s="151"/>
      <c r="F21" s="151"/>
      <c r="G21" s="145"/>
      <c r="H21" s="145"/>
      <c r="I21" s="42"/>
    </row>
    <row r="22" spans="1:9" x14ac:dyDescent="0.2">
      <c r="A22" s="150"/>
      <c r="B22" s="149"/>
      <c r="C22" s="151"/>
      <c r="D22" s="53"/>
      <c r="E22" s="151"/>
      <c r="F22" s="151"/>
      <c r="G22" s="145"/>
      <c r="H22" s="145"/>
      <c r="I22" s="42"/>
    </row>
    <row r="23" spans="1:9" x14ac:dyDescent="0.2">
      <c r="A23" s="150" t="s">
        <v>43</v>
      </c>
      <c r="B23" s="149"/>
      <c r="C23" s="315">
        <f>SUM(C20:C22)</f>
        <v>0</v>
      </c>
      <c r="D23" s="53"/>
      <c r="E23" s="315">
        <f>SUM(E20:E22)</f>
        <v>20000</v>
      </c>
      <c r="F23" s="315">
        <f>SUM(F20:F22)</f>
        <v>0</v>
      </c>
      <c r="G23" s="145"/>
      <c r="H23" s="145"/>
      <c r="I23" s="42"/>
    </row>
    <row r="24" spans="1:9" x14ac:dyDescent="0.2">
      <c r="A24" s="319"/>
      <c r="B24" s="323"/>
      <c r="C24" s="320"/>
      <c r="D24" s="305"/>
      <c r="E24" s="320"/>
      <c r="F24" s="320"/>
      <c r="G24" s="304"/>
      <c r="H24" s="304"/>
      <c r="I24" s="324"/>
    </row>
    <row r="25" spans="1:9" x14ac:dyDescent="0.2">
      <c r="A25" s="150" t="s">
        <v>975</v>
      </c>
      <c r="B25" s="149"/>
      <c r="C25" s="151"/>
      <c r="D25" s="53"/>
      <c r="E25" s="151"/>
      <c r="F25" s="151"/>
      <c r="G25" s="145"/>
      <c r="H25" s="145"/>
      <c r="I25" s="42"/>
    </row>
    <row r="26" spans="1:9" x14ac:dyDescent="0.2">
      <c r="A26" s="150"/>
      <c r="B26" s="145"/>
      <c r="C26" s="151"/>
      <c r="D26" s="53"/>
      <c r="E26" s="151"/>
      <c r="F26" s="58"/>
      <c r="G26" s="145"/>
      <c r="H26" s="145"/>
      <c r="I26" s="42"/>
    </row>
    <row r="27" spans="1:9" ht="13.5" thickBot="1" x14ac:dyDescent="0.25">
      <c r="A27" s="28" t="s">
        <v>43</v>
      </c>
      <c r="B27" s="29"/>
      <c r="C27" s="56">
        <f>SUM(C25:C26)</f>
        <v>0</v>
      </c>
      <c r="D27" s="124"/>
      <c r="E27" s="56">
        <f>SUM(E24:E26)</f>
        <v>0</v>
      </c>
      <c r="F27" s="56">
        <f>SUM(F25:F26)</f>
        <v>0</v>
      </c>
      <c r="G27" s="29"/>
      <c r="H27" s="29"/>
      <c r="I27" s="30"/>
    </row>
    <row r="28" spans="1:9" ht="13.5" thickBot="1" x14ac:dyDescent="0.25"/>
    <row r="29" spans="1:9" ht="21" thickBot="1" x14ac:dyDescent="0.25">
      <c r="A29" s="550" t="s">
        <v>1144</v>
      </c>
      <c r="B29" s="551"/>
      <c r="C29" s="551"/>
      <c r="D29" s="551"/>
      <c r="E29" s="551"/>
      <c r="F29" s="551"/>
      <c r="G29" s="551"/>
      <c r="H29" s="551"/>
      <c r="I29" s="552"/>
    </row>
    <row r="30" spans="1:9" ht="20.25" x14ac:dyDescent="0.3">
      <c r="A30" s="39"/>
      <c r="B30" s="13" t="s">
        <v>1138</v>
      </c>
      <c r="C30" s="13" t="s">
        <v>1139</v>
      </c>
      <c r="D30" s="13" t="s">
        <v>1140</v>
      </c>
      <c r="E30" s="13" t="s">
        <v>1141</v>
      </c>
      <c r="F30" s="14"/>
      <c r="G30" s="13"/>
      <c r="H30" s="13"/>
      <c r="I30" s="37"/>
    </row>
    <row r="31" spans="1:9" x14ac:dyDescent="0.2">
      <c r="A31" s="39" t="s">
        <v>991</v>
      </c>
      <c r="B31" s="18">
        <f>B59+(B59*0.03)</f>
        <v>46787.75</v>
      </c>
      <c r="C31" s="18">
        <v>42713</v>
      </c>
      <c r="D31" s="18">
        <f>D59+(D59*0.03)</f>
        <v>40865.25</v>
      </c>
      <c r="E31" s="18">
        <v>2500</v>
      </c>
      <c r="F31" s="146" t="s">
        <v>972</v>
      </c>
      <c r="G31" s="13"/>
      <c r="H31" s="13"/>
      <c r="I31" s="155" t="s">
        <v>973</v>
      </c>
    </row>
    <row r="32" spans="1:9" ht="20.25" x14ac:dyDescent="0.3">
      <c r="A32" s="39" t="s">
        <v>36</v>
      </c>
      <c r="B32" s="18">
        <f>IF(B65&gt;B31,B31,B65)</f>
        <v>0</v>
      </c>
      <c r="C32" s="18">
        <f>IF(C64&gt;C31,C31,C64)</f>
        <v>42713</v>
      </c>
      <c r="D32" s="18">
        <f>IF(D64&gt;D31,D31,D64)</f>
        <v>23200</v>
      </c>
      <c r="E32" s="18">
        <v>0</v>
      </c>
      <c r="F32" s="14"/>
      <c r="G32" s="13"/>
      <c r="H32" s="13"/>
      <c r="I32" s="37"/>
    </row>
    <row r="33" spans="1:9" x14ac:dyDescent="0.2">
      <c r="A33" s="39" t="s">
        <v>992</v>
      </c>
      <c r="B33" s="18">
        <f>SUM(B31:B32)</f>
        <v>46787.75</v>
      </c>
      <c r="C33" s="18">
        <f>SUM(C31:C32)</f>
        <v>85426</v>
      </c>
      <c r="D33" s="18">
        <f>SUM(D31:D32)</f>
        <v>64065.25</v>
      </c>
      <c r="E33" s="18">
        <f>SUM(E31:E32)</f>
        <v>2500</v>
      </c>
      <c r="F33" s="125" t="s">
        <v>107</v>
      </c>
      <c r="G33" s="13"/>
      <c r="H33" s="13"/>
      <c r="I33" s="37"/>
    </row>
    <row r="34" spans="1:9" ht="20.25" x14ac:dyDescent="0.3">
      <c r="A34" s="39" t="s">
        <v>47</v>
      </c>
      <c r="B34" s="18">
        <f>B65</f>
        <v>0</v>
      </c>
      <c r="C34" s="18">
        <f>IF(C65&gt;C31,C31,C65)</f>
        <v>42713</v>
      </c>
      <c r="D34" s="18">
        <f>IF(OR(D65&gt;=D31,D65&lt;D31),D65,D31)</f>
        <v>23200</v>
      </c>
      <c r="E34" s="18">
        <v>0</v>
      </c>
      <c r="F34" s="14"/>
      <c r="G34" s="13"/>
      <c r="H34" s="13"/>
      <c r="I34" s="37"/>
    </row>
    <row r="35" spans="1:9" x14ac:dyDescent="0.2">
      <c r="A35" s="39" t="s">
        <v>479</v>
      </c>
      <c r="B35" s="18">
        <f>B34+B31</f>
        <v>46787.75</v>
      </c>
      <c r="C35" s="18">
        <f>C31+C34</f>
        <v>85426</v>
      </c>
      <c r="D35" s="18">
        <f>D34+D31</f>
        <v>64065.25</v>
      </c>
      <c r="E35" s="18">
        <f>E34+E31</f>
        <v>2500</v>
      </c>
      <c r="F35" s="146" t="s">
        <v>108</v>
      </c>
      <c r="G35" s="13"/>
      <c r="H35" s="13"/>
      <c r="I35" s="37"/>
    </row>
    <row r="36" spans="1:9" x14ac:dyDescent="0.2">
      <c r="A36" s="39" t="s">
        <v>39</v>
      </c>
      <c r="B36" s="18">
        <f>B33-E41</f>
        <v>0</v>
      </c>
      <c r="C36" s="18">
        <f>C33-E46</f>
        <v>82792.850000000006</v>
      </c>
      <c r="D36" s="18">
        <f>D33-E51-F51</f>
        <v>64065.25</v>
      </c>
      <c r="E36" s="18">
        <f>E33-E55</f>
        <v>2500</v>
      </c>
      <c r="F36" s="146" t="s">
        <v>109</v>
      </c>
      <c r="G36" s="13"/>
      <c r="H36" s="13"/>
      <c r="I36" s="37"/>
    </row>
    <row r="37" spans="1:9" x14ac:dyDescent="0.2">
      <c r="A37" s="39" t="s">
        <v>132</v>
      </c>
      <c r="B37" s="38">
        <f>B35-E41-F41</f>
        <v>0</v>
      </c>
      <c r="C37" s="38">
        <f>C35-E46-F46</f>
        <v>82792.850000000006</v>
      </c>
      <c r="D37" s="44">
        <f>D35-E51-F51</f>
        <v>64065.25</v>
      </c>
      <c r="E37" s="44">
        <f>E35-E55-F55</f>
        <v>2500</v>
      </c>
      <c r="F37" s="146" t="s">
        <v>110</v>
      </c>
      <c r="G37" s="140"/>
      <c r="H37" s="140"/>
      <c r="I37" s="140"/>
    </row>
    <row r="38" spans="1:9" ht="21" thickBot="1" x14ac:dyDescent="0.35">
      <c r="A38" s="39"/>
      <c r="B38" s="13"/>
      <c r="C38" s="13"/>
      <c r="D38" s="13"/>
      <c r="E38" s="14"/>
      <c r="F38" s="14"/>
      <c r="G38" s="13"/>
      <c r="H38" s="13"/>
      <c r="I38" s="37"/>
    </row>
    <row r="39" spans="1:9" ht="51" x14ac:dyDescent="0.2">
      <c r="A39" s="19" t="s">
        <v>41</v>
      </c>
      <c r="B39" s="20" t="s">
        <v>34</v>
      </c>
      <c r="C39" s="20" t="s">
        <v>64</v>
      </c>
      <c r="D39" s="20" t="s">
        <v>63</v>
      </c>
      <c r="E39" s="20" t="s">
        <v>37</v>
      </c>
      <c r="F39" s="20" t="s">
        <v>48</v>
      </c>
      <c r="G39" s="20" t="s">
        <v>40</v>
      </c>
      <c r="H39" s="20" t="s">
        <v>38</v>
      </c>
      <c r="I39" s="21" t="s">
        <v>5</v>
      </c>
    </row>
    <row r="40" spans="1:9" x14ac:dyDescent="0.2">
      <c r="A40" s="22" t="s">
        <v>10</v>
      </c>
      <c r="B40" s="23" t="s">
        <v>10</v>
      </c>
      <c r="C40" s="57">
        <v>46787.75</v>
      </c>
      <c r="D40" s="50">
        <v>45299</v>
      </c>
      <c r="E40" s="57">
        <v>46787.75</v>
      </c>
      <c r="F40" s="57"/>
      <c r="G40" s="49" t="s">
        <v>1155</v>
      </c>
      <c r="H40" s="23" t="s">
        <v>974</v>
      </c>
      <c r="I40" s="24"/>
    </row>
    <row r="41" spans="1:9" x14ac:dyDescent="0.2">
      <c r="A41" s="25" t="s">
        <v>43</v>
      </c>
      <c r="B41" s="26"/>
      <c r="C41" s="61">
        <f>C40</f>
        <v>46787.75</v>
      </c>
      <c r="D41" s="55"/>
      <c r="E41" s="61">
        <f>E40</f>
        <v>46787.75</v>
      </c>
      <c r="F41" s="61">
        <f>F40</f>
        <v>0</v>
      </c>
      <c r="G41" s="26"/>
      <c r="H41" s="26"/>
      <c r="I41" s="27"/>
    </row>
    <row r="42" spans="1:9" x14ac:dyDescent="0.2">
      <c r="A42" s="33"/>
      <c r="B42" s="33"/>
      <c r="C42" s="59"/>
      <c r="D42" s="123"/>
      <c r="E42" s="59"/>
      <c r="F42" s="59"/>
      <c r="G42" s="33"/>
      <c r="H42" s="33"/>
      <c r="I42" s="33"/>
    </row>
    <row r="43" spans="1:9" x14ac:dyDescent="0.2">
      <c r="A43" s="25" t="s">
        <v>44</v>
      </c>
      <c r="B43" s="219"/>
      <c r="C43" s="458">
        <v>2633.15</v>
      </c>
      <c r="D43" s="53"/>
      <c r="E43" s="458">
        <v>2633.15</v>
      </c>
      <c r="F43" s="151"/>
      <c r="G43" s="460" t="s">
        <v>1216</v>
      </c>
      <c r="H43" s="26"/>
      <c r="I43" s="85"/>
    </row>
    <row r="44" spans="1:9" x14ac:dyDescent="0.2">
      <c r="A44" s="25"/>
      <c r="B44" s="325"/>
      <c r="C44" s="58"/>
      <c r="D44" s="326"/>
      <c r="E44" s="58"/>
      <c r="F44" s="151"/>
      <c r="G44" s="26"/>
      <c r="H44" s="26"/>
      <c r="I44" s="85"/>
    </row>
    <row r="45" spans="1:9" x14ac:dyDescent="0.2">
      <c r="A45" s="25"/>
      <c r="B45" s="325"/>
      <c r="C45" s="58"/>
      <c r="D45" s="326"/>
      <c r="E45" s="278"/>
      <c r="F45" s="151"/>
      <c r="G45" s="26"/>
      <c r="H45" s="26"/>
      <c r="I45" s="85"/>
    </row>
    <row r="46" spans="1:9" x14ac:dyDescent="0.2">
      <c r="A46" s="25" t="s">
        <v>43</v>
      </c>
      <c r="B46" s="26"/>
      <c r="C46" s="327">
        <f>C43+C44</f>
        <v>2633.15</v>
      </c>
      <c r="D46" s="55"/>
      <c r="E46" s="60">
        <f>E43+E44</f>
        <v>2633.15</v>
      </c>
      <c r="F46" s="60">
        <f>F43</f>
        <v>0</v>
      </c>
      <c r="G46" s="26"/>
      <c r="H46" s="26"/>
      <c r="I46" s="27"/>
    </row>
    <row r="47" spans="1:9" x14ac:dyDescent="0.2">
      <c r="A47" s="33"/>
      <c r="B47" s="33"/>
      <c r="C47" s="59"/>
      <c r="D47" s="123"/>
      <c r="E47" s="59"/>
      <c r="F47" s="59"/>
      <c r="G47" s="33"/>
      <c r="H47" s="33"/>
      <c r="I47" s="33"/>
    </row>
    <row r="48" spans="1:9" x14ac:dyDescent="0.2">
      <c r="A48" s="150" t="s">
        <v>42</v>
      </c>
      <c r="B48" s="149"/>
      <c r="C48" s="151"/>
      <c r="D48" s="53"/>
      <c r="E48" s="151"/>
      <c r="F48" s="151"/>
      <c r="G48" s="145"/>
      <c r="H48" s="145"/>
      <c r="I48" s="42"/>
    </row>
    <row r="49" spans="1:9" x14ac:dyDescent="0.2">
      <c r="A49" s="150"/>
      <c r="B49" s="149"/>
      <c r="C49" s="151"/>
      <c r="D49" s="53"/>
      <c r="E49" s="151"/>
      <c r="F49" s="151"/>
      <c r="G49" s="145"/>
      <c r="H49" s="145"/>
      <c r="I49" s="42"/>
    </row>
    <row r="50" spans="1:9" x14ac:dyDescent="0.2">
      <c r="A50" s="150"/>
      <c r="B50" s="149"/>
      <c r="C50" s="151"/>
      <c r="D50" s="53"/>
      <c r="E50" s="151"/>
      <c r="F50" s="151"/>
      <c r="G50" s="145"/>
      <c r="H50" s="145"/>
      <c r="I50" s="42"/>
    </row>
    <row r="51" spans="1:9" x14ac:dyDescent="0.2">
      <c r="A51" s="150" t="s">
        <v>43</v>
      </c>
      <c r="B51" s="149"/>
      <c r="C51" s="315">
        <f>SUM(C48:C50)</f>
        <v>0</v>
      </c>
      <c r="D51" s="53"/>
      <c r="E51" s="315">
        <f>SUM(E48:E50)</f>
        <v>0</v>
      </c>
      <c r="F51" s="315">
        <f>SUM(F48:F50)</f>
        <v>0</v>
      </c>
      <c r="G51" s="145"/>
      <c r="H51" s="145"/>
      <c r="I51" s="42"/>
    </row>
    <row r="52" spans="1:9" x14ac:dyDescent="0.2">
      <c r="A52" s="319"/>
      <c r="B52" s="323"/>
      <c r="C52" s="320"/>
      <c r="D52" s="305"/>
      <c r="E52" s="320"/>
      <c r="F52" s="320"/>
      <c r="G52" s="304"/>
      <c r="H52" s="304"/>
      <c r="I52" s="324"/>
    </row>
    <row r="53" spans="1:9" x14ac:dyDescent="0.2">
      <c r="A53" s="150" t="s">
        <v>975</v>
      </c>
      <c r="B53" s="149"/>
      <c r="C53" s="151"/>
      <c r="D53" s="53"/>
      <c r="E53" s="151"/>
      <c r="F53" s="151"/>
      <c r="G53" s="145"/>
      <c r="H53" s="145"/>
      <c r="I53" s="42"/>
    </row>
    <row r="54" spans="1:9" x14ac:dyDescent="0.2">
      <c r="A54" s="150"/>
      <c r="B54" s="145"/>
      <c r="C54" s="151"/>
      <c r="D54" s="53"/>
      <c r="E54" s="151"/>
      <c r="F54" s="58"/>
      <c r="G54" s="145"/>
      <c r="H54" s="145"/>
      <c r="I54" s="42"/>
    </row>
    <row r="55" spans="1:9" ht="13.5" thickBot="1" x14ac:dyDescent="0.25">
      <c r="A55" s="28" t="s">
        <v>43</v>
      </c>
      <c r="B55" s="29"/>
      <c r="C55" s="56">
        <f>SUM(C53:C54)</f>
        <v>0</v>
      </c>
      <c r="D55" s="124"/>
      <c r="E55" s="56">
        <f>SUM(E52:E54)</f>
        <v>0</v>
      </c>
      <c r="F55" s="56">
        <f>SUM(F53:F54)</f>
        <v>0</v>
      </c>
      <c r="G55" s="29"/>
      <c r="H55" s="29"/>
      <c r="I55" s="30"/>
    </row>
    <row r="56" spans="1:9" ht="13.5" thickBot="1" x14ac:dyDescent="0.25"/>
    <row r="57" spans="1:9" ht="21" thickBot="1" x14ac:dyDescent="0.25">
      <c r="A57" s="550" t="s">
        <v>977</v>
      </c>
      <c r="B57" s="551"/>
      <c r="C57" s="551"/>
      <c r="D57" s="551"/>
      <c r="E57" s="551"/>
      <c r="F57" s="551"/>
      <c r="G57" s="551"/>
      <c r="H57" s="551"/>
      <c r="I57" s="552"/>
    </row>
    <row r="58" spans="1:9" ht="20.25" x14ac:dyDescent="0.3">
      <c r="A58" s="39"/>
      <c r="B58" s="13" t="s">
        <v>964</v>
      </c>
      <c r="C58" s="13" t="s">
        <v>965</v>
      </c>
      <c r="D58" s="13" t="s">
        <v>966</v>
      </c>
      <c r="E58" s="13" t="s">
        <v>967</v>
      </c>
      <c r="F58" s="14"/>
      <c r="G58" s="13"/>
      <c r="H58" s="13"/>
      <c r="I58" s="37"/>
    </row>
    <row r="59" spans="1:9" x14ac:dyDescent="0.2">
      <c r="A59" s="39" t="s">
        <v>971</v>
      </c>
      <c r="B59" s="18">
        <v>45425</v>
      </c>
      <c r="C59" s="18">
        <v>42713</v>
      </c>
      <c r="D59" s="18">
        <v>39675</v>
      </c>
      <c r="E59" s="18">
        <v>2500</v>
      </c>
      <c r="F59" s="146" t="s">
        <v>972</v>
      </c>
      <c r="G59" s="13"/>
      <c r="H59" s="13"/>
      <c r="I59" s="155" t="s">
        <v>973</v>
      </c>
    </row>
    <row r="60" spans="1:9" ht="20.25" x14ac:dyDescent="0.3">
      <c r="A60" s="39" t="s">
        <v>36</v>
      </c>
      <c r="B60" s="18">
        <f>IF(B93&gt;B59,B59,B93)</f>
        <v>0</v>
      </c>
      <c r="C60" s="18">
        <f>IF(C92&gt;C59,C59,C92)</f>
        <v>42713</v>
      </c>
      <c r="D60" s="18">
        <f>IF(D92&gt;2,D59,D92)</f>
        <v>39675</v>
      </c>
      <c r="E60" s="18">
        <v>0</v>
      </c>
      <c r="F60" s="14"/>
      <c r="G60" s="13"/>
      <c r="H60" s="13"/>
      <c r="I60" s="37"/>
    </row>
    <row r="61" spans="1:9" x14ac:dyDescent="0.2">
      <c r="A61" s="39" t="s">
        <v>969</v>
      </c>
      <c r="B61" s="18">
        <f>SUM(B59:B60)</f>
        <v>45425</v>
      </c>
      <c r="C61" s="18">
        <f>SUM(C59:C60)</f>
        <v>85426</v>
      </c>
      <c r="D61" s="18">
        <f>SUM(D59:D60)</f>
        <v>79350</v>
      </c>
      <c r="E61" s="18">
        <f>SUM(E59:E60)</f>
        <v>2500</v>
      </c>
      <c r="F61" s="125" t="s">
        <v>107</v>
      </c>
      <c r="G61" s="13"/>
      <c r="H61" s="13"/>
      <c r="I61" s="37"/>
    </row>
    <row r="62" spans="1:9" ht="20.25" x14ac:dyDescent="0.3">
      <c r="A62" s="39" t="s">
        <v>47</v>
      </c>
      <c r="B62" s="18">
        <f>B93</f>
        <v>0</v>
      </c>
      <c r="C62" s="18">
        <f>IF(C93&gt;C59,C59,C93)</f>
        <v>42713</v>
      </c>
      <c r="D62" s="18">
        <f>IF(D93&lt;=D59,D93,D59)</f>
        <v>39675</v>
      </c>
      <c r="E62" s="18">
        <v>0</v>
      </c>
      <c r="F62" s="14"/>
      <c r="G62" s="13"/>
      <c r="H62" s="13"/>
      <c r="I62" s="37"/>
    </row>
    <row r="63" spans="1:9" x14ac:dyDescent="0.2">
      <c r="A63" s="39" t="s">
        <v>479</v>
      </c>
      <c r="B63" s="18">
        <f>B62+B59</f>
        <v>45425</v>
      </c>
      <c r="C63" s="18">
        <f>C59+C62</f>
        <v>85426</v>
      </c>
      <c r="D63" s="18">
        <f>D62+D59</f>
        <v>79350</v>
      </c>
      <c r="E63" s="18">
        <f>E62+E59</f>
        <v>2500</v>
      </c>
      <c r="F63" s="146" t="s">
        <v>108</v>
      </c>
      <c r="G63" s="13"/>
      <c r="H63" s="13"/>
      <c r="I63" s="37"/>
    </row>
    <row r="64" spans="1:9" x14ac:dyDescent="0.2">
      <c r="A64" s="39" t="s">
        <v>39</v>
      </c>
      <c r="B64" s="18">
        <f>B61-E69</f>
        <v>0</v>
      </c>
      <c r="C64" s="18">
        <f>C61-E74</f>
        <v>83179.990000000005</v>
      </c>
      <c r="D64" s="18">
        <f>D61-E79-F79</f>
        <v>23200</v>
      </c>
      <c r="E64" s="18">
        <f>E61-E83</f>
        <v>2500</v>
      </c>
      <c r="F64" s="146" t="s">
        <v>109</v>
      </c>
      <c r="G64" s="13"/>
      <c r="H64" s="13"/>
      <c r="I64" s="37"/>
    </row>
    <row r="65" spans="1:9" x14ac:dyDescent="0.2">
      <c r="A65" s="39" t="s">
        <v>132</v>
      </c>
      <c r="B65" s="38">
        <f>B63-E69-F69</f>
        <v>0</v>
      </c>
      <c r="C65" s="38">
        <f>C63-E74-F74</f>
        <v>78595.86</v>
      </c>
      <c r="D65" s="44">
        <f>D63-E79-F79</f>
        <v>23200</v>
      </c>
      <c r="E65" s="44">
        <f>E63-E83-F83</f>
        <v>2500</v>
      </c>
      <c r="F65" s="146" t="s">
        <v>110</v>
      </c>
      <c r="G65" s="140"/>
      <c r="H65" s="140"/>
      <c r="I65" s="140"/>
    </row>
    <row r="66" spans="1:9" ht="21" thickBot="1" x14ac:dyDescent="0.35">
      <c r="A66" s="39"/>
      <c r="B66" s="13"/>
      <c r="C66" s="13"/>
      <c r="D66" s="13"/>
      <c r="E66" s="14"/>
      <c r="F66" s="14"/>
      <c r="G66" s="13"/>
      <c r="H66" s="13"/>
      <c r="I66" s="37"/>
    </row>
    <row r="67" spans="1:9" ht="51" x14ac:dyDescent="0.2">
      <c r="A67" s="19" t="s">
        <v>41</v>
      </c>
      <c r="B67" s="20" t="s">
        <v>34</v>
      </c>
      <c r="C67" s="20" t="s">
        <v>64</v>
      </c>
      <c r="D67" s="20" t="s">
        <v>63</v>
      </c>
      <c r="E67" s="20" t="s">
        <v>37</v>
      </c>
      <c r="F67" s="20" t="s">
        <v>48</v>
      </c>
      <c r="G67" s="20" t="s">
        <v>40</v>
      </c>
      <c r="H67" s="20" t="s">
        <v>38</v>
      </c>
      <c r="I67" s="21" t="s">
        <v>5</v>
      </c>
    </row>
    <row r="68" spans="1:9" x14ac:dyDescent="0.2">
      <c r="A68" s="22" t="s">
        <v>10</v>
      </c>
      <c r="B68" s="23" t="s">
        <v>10</v>
      </c>
      <c r="C68" s="57">
        <v>45425</v>
      </c>
      <c r="D68" s="50">
        <v>45000</v>
      </c>
      <c r="E68" s="57">
        <v>45425</v>
      </c>
      <c r="F68" s="57">
        <v>0</v>
      </c>
      <c r="G68" s="49" t="s">
        <v>1009</v>
      </c>
      <c r="H68" s="23" t="s">
        <v>974</v>
      </c>
      <c r="I68" s="24"/>
    </row>
    <row r="69" spans="1:9" x14ac:dyDescent="0.2">
      <c r="A69" s="25" t="s">
        <v>43</v>
      </c>
      <c r="B69" s="26"/>
      <c r="C69" s="61">
        <f>C68</f>
        <v>45425</v>
      </c>
      <c r="D69" s="55"/>
      <c r="E69" s="61">
        <f>E68</f>
        <v>45425</v>
      </c>
      <c r="F69" s="61">
        <f>F68</f>
        <v>0</v>
      </c>
      <c r="G69" s="26"/>
      <c r="H69" s="26"/>
      <c r="I69" s="27"/>
    </row>
    <row r="70" spans="1:9" x14ac:dyDescent="0.2">
      <c r="A70" s="33"/>
      <c r="B70" s="33"/>
      <c r="C70" s="59"/>
      <c r="D70" s="123"/>
      <c r="E70" s="59"/>
      <c r="F70" s="59"/>
      <c r="G70" s="33"/>
      <c r="H70" s="33"/>
      <c r="I70" s="33"/>
    </row>
    <row r="71" spans="1:9" x14ac:dyDescent="0.2">
      <c r="A71" s="25" t="s">
        <v>44</v>
      </c>
      <c r="B71" s="219" t="s">
        <v>568</v>
      </c>
      <c r="C71" s="151">
        <v>2246.0100000000002</v>
      </c>
      <c r="D71" s="53">
        <v>45015</v>
      </c>
      <c r="E71" s="151">
        <v>2246.0100000000002</v>
      </c>
      <c r="F71" s="151"/>
      <c r="G71" s="26" t="s">
        <v>1112</v>
      </c>
      <c r="H71" s="26" t="s">
        <v>974</v>
      </c>
      <c r="I71" s="85"/>
    </row>
    <row r="72" spans="1:9" x14ac:dyDescent="0.2">
      <c r="A72" s="25"/>
      <c r="B72" s="325" t="s">
        <v>568</v>
      </c>
      <c r="C72" s="58">
        <v>4584.13</v>
      </c>
      <c r="D72" s="326">
        <v>45378</v>
      </c>
      <c r="E72" s="58"/>
      <c r="F72" s="151">
        <v>4584.13</v>
      </c>
      <c r="G72" s="26"/>
      <c r="H72" s="26"/>
      <c r="I72" s="85"/>
    </row>
    <row r="73" spans="1:9" x14ac:dyDescent="0.2">
      <c r="A73" s="25"/>
      <c r="B73" s="325"/>
      <c r="C73" s="58"/>
      <c r="D73" s="326"/>
      <c r="E73" s="278"/>
      <c r="F73" s="151"/>
      <c r="G73" s="26"/>
      <c r="H73" s="26"/>
      <c r="I73" s="85"/>
    </row>
    <row r="74" spans="1:9" x14ac:dyDescent="0.2">
      <c r="A74" s="25" t="s">
        <v>43</v>
      </c>
      <c r="B74" s="26"/>
      <c r="C74" s="327">
        <f>C71+C72</f>
        <v>6830.14</v>
      </c>
      <c r="D74" s="55"/>
      <c r="E74" s="60">
        <f>E71+E72</f>
        <v>2246.0100000000002</v>
      </c>
      <c r="F74" s="60">
        <f>F72</f>
        <v>4584.13</v>
      </c>
      <c r="G74" s="26"/>
      <c r="H74" s="26"/>
      <c r="I74" s="27"/>
    </row>
    <row r="75" spans="1:9" x14ac:dyDescent="0.2">
      <c r="A75" s="33"/>
      <c r="B75" s="33"/>
      <c r="C75" s="59"/>
      <c r="D75" s="123"/>
      <c r="E75" s="59"/>
      <c r="F75" s="59"/>
      <c r="G75" s="33"/>
      <c r="H75" s="33"/>
      <c r="I75" s="33"/>
    </row>
    <row r="76" spans="1:9" x14ac:dyDescent="0.2">
      <c r="A76" s="150" t="s">
        <v>42</v>
      </c>
      <c r="B76" s="149"/>
      <c r="C76" s="151"/>
      <c r="D76" s="53"/>
      <c r="E76" s="151"/>
      <c r="F76" s="151"/>
      <c r="G76" s="145"/>
      <c r="H76" s="145"/>
      <c r="I76" s="42"/>
    </row>
    <row r="77" spans="1:9" x14ac:dyDescent="0.2">
      <c r="A77" s="150"/>
      <c r="B77" s="149" t="s">
        <v>10</v>
      </c>
      <c r="C77" s="151">
        <v>35000</v>
      </c>
      <c r="D77" s="53" t="s">
        <v>1084</v>
      </c>
      <c r="E77" s="151">
        <v>28150</v>
      </c>
      <c r="F77" s="468"/>
      <c r="G77" s="468" t="s">
        <v>1225</v>
      </c>
      <c r="H77" s="145" t="s">
        <v>1075</v>
      </c>
      <c r="I77" s="42"/>
    </row>
    <row r="78" spans="1:9" x14ac:dyDescent="0.2">
      <c r="A78" s="150"/>
      <c r="B78" s="149" t="s">
        <v>532</v>
      </c>
      <c r="C78" s="151">
        <v>28000</v>
      </c>
      <c r="D78" s="53" t="s">
        <v>1085</v>
      </c>
      <c r="E78" s="151"/>
      <c r="F78" s="151">
        <v>28000</v>
      </c>
      <c r="G78" s="145"/>
      <c r="H78" s="145" t="s">
        <v>1075</v>
      </c>
      <c r="I78" s="42"/>
    </row>
    <row r="79" spans="1:9" x14ac:dyDescent="0.2">
      <c r="A79" s="150" t="s">
        <v>43</v>
      </c>
      <c r="B79" s="149"/>
      <c r="C79" s="315">
        <f>SUM(C76:C78)</f>
        <v>63000</v>
      </c>
      <c r="D79" s="53"/>
      <c r="E79" s="315">
        <f>SUM(E76:E78)</f>
        <v>28150</v>
      </c>
      <c r="F79" s="315">
        <f>SUM(F76:F78)</f>
        <v>28000</v>
      </c>
      <c r="G79" s="145"/>
      <c r="H79" s="145"/>
      <c r="I79" s="42"/>
    </row>
    <row r="80" spans="1:9" x14ac:dyDescent="0.2">
      <c r="A80" s="319"/>
      <c r="B80" s="323"/>
      <c r="C80" s="320"/>
      <c r="D80" s="305"/>
      <c r="E80" s="320"/>
      <c r="F80" s="320"/>
      <c r="G80" s="304"/>
      <c r="H80" s="304"/>
      <c r="I80" s="324"/>
    </row>
    <row r="81" spans="1:9" x14ac:dyDescent="0.2">
      <c r="A81" s="150" t="s">
        <v>975</v>
      </c>
      <c r="B81" s="149"/>
      <c r="C81" s="151"/>
      <c r="D81" s="53"/>
      <c r="E81" s="151"/>
      <c r="F81" s="151"/>
      <c r="G81" s="145"/>
      <c r="H81" s="145"/>
      <c r="I81" s="42"/>
    </row>
    <row r="82" spans="1:9" x14ac:dyDescent="0.2">
      <c r="A82" s="150"/>
      <c r="B82" s="145"/>
      <c r="C82" s="151"/>
      <c r="D82" s="53"/>
      <c r="E82" s="151"/>
      <c r="F82" s="58"/>
      <c r="G82" s="145"/>
      <c r="H82" s="145"/>
      <c r="I82" s="42"/>
    </row>
    <row r="83" spans="1:9" ht="13.5" thickBot="1" x14ac:dyDescent="0.25">
      <c r="A83" s="28" t="s">
        <v>43</v>
      </c>
      <c r="B83" s="29"/>
      <c r="C83" s="56">
        <f>SUM(C81:C82)</f>
        <v>0</v>
      </c>
      <c r="D83" s="124"/>
      <c r="E83" s="56">
        <f>SUM(E80:E82)</f>
        <v>0</v>
      </c>
      <c r="F83" s="56">
        <f>SUM(F81:F82)</f>
        <v>0</v>
      </c>
      <c r="G83" s="29"/>
      <c r="H83" s="29"/>
      <c r="I83" s="30"/>
    </row>
    <row r="84" spans="1:9" ht="13.5" thickBot="1" x14ac:dyDescent="0.25"/>
    <row r="85" spans="1:9" ht="21" thickBot="1" x14ac:dyDescent="0.25">
      <c r="A85" s="550" t="s">
        <v>868</v>
      </c>
      <c r="B85" s="551"/>
      <c r="C85" s="551"/>
      <c r="D85" s="551"/>
      <c r="E85" s="551"/>
      <c r="F85" s="551"/>
      <c r="G85" s="551"/>
      <c r="H85" s="551"/>
      <c r="I85" s="552"/>
    </row>
    <row r="86" spans="1:9" ht="20.25" x14ac:dyDescent="0.3">
      <c r="A86" s="39"/>
      <c r="B86" s="13" t="s">
        <v>859</v>
      </c>
      <c r="C86" s="13" t="s">
        <v>860</v>
      </c>
      <c r="D86" s="13" t="s">
        <v>861</v>
      </c>
      <c r="E86" s="14"/>
      <c r="F86" s="14"/>
      <c r="G86" s="13"/>
      <c r="H86" s="13"/>
      <c r="I86" s="37"/>
    </row>
    <row r="87" spans="1:9" ht="20.25" x14ac:dyDescent="0.3">
      <c r="A87" s="39" t="s">
        <v>864</v>
      </c>
      <c r="B87" s="18">
        <v>39500</v>
      </c>
      <c r="C87" s="18">
        <f>C110+(0.03*C110)</f>
        <v>42713.059339499996</v>
      </c>
      <c r="D87" s="18">
        <v>34500</v>
      </c>
      <c r="E87" s="14"/>
      <c r="F87" s="14"/>
      <c r="G87" s="13"/>
      <c r="H87" s="13"/>
      <c r="I87" s="37"/>
    </row>
    <row r="88" spans="1:9" ht="20.25" x14ac:dyDescent="0.3">
      <c r="A88" s="39" t="s">
        <v>36</v>
      </c>
      <c r="B88" s="18">
        <f>IF(B115&gt;B87,B87,B115)</f>
        <v>0</v>
      </c>
      <c r="C88" s="18">
        <f>IF(C115&gt;C87,C87,C115)</f>
        <v>42713.059339499996</v>
      </c>
      <c r="D88" s="18">
        <f>IF(D115&gt;D87,D87,D115)</f>
        <v>34500</v>
      </c>
      <c r="E88" s="14"/>
      <c r="F88" s="14"/>
      <c r="G88" s="13"/>
      <c r="H88" s="13"/>
      <c r="I88" s="37"/>
    </row>
    <row r="89" spans="1:9" ht="20.25" x14ac:dyDescent="0.3">
      <c r="A89" s="39" t="s">
        <v>862</v>
      </c>
      <c r="B89" s="18">
        <f>SUM(B87:B88)</f>
        <v>39500</v>
      </c>
      <c r="C89" s="18">
        <f>SUM(C87:C88)</f>
        <v>85426.118678999992</v>
      </c>
      <c r="D89" s="18">
        <f>SUM(D87:D88)</f>
        <v>69000</v>
      </c>
      <c r="E89" s="125" t="s">
        <v>107</v>
      </c>
      <c r="F89" s="14"/>
      <c r="G89" s="13"/>
      <c r="H89" s="13"/>
      <c r="I89" s="37"/>
    </row>
    <row r="90" spans="1:9" ht="20.25" x14ac:dyDescent="0.3">
      <c r="A90" s="39" t="s">
        <v>47</v>
      </c>
      <c r="B90" s="18">
        <f>B115</f>
        <v>0</v>
      </c>
      <c r="C90" s="18">
        <f>IF(C116&gt;C87,C87,C116)</f>
        <v>42713.059339499996</v>
      </c>
      <c r="D90" s="18">
        <f>IF(D116&gt;D110,D110,D116)</f>
        <v>34500</v>
      </c>
      <c r="E90" s="14"/>
      <c r="F90" s="14"/>
      <c r="G90" s="13"/>
      <c r="H90" s="13"/>
      <c r="I90" s="37"/>
    </row>
    <row r="91" spans="1:9" ht="20.25" x14ac:dyDescent="0.3">
      <c r="A91" s="39" t="s">
        <v>479</v>
      </c>
      <c r="B91" s="18">
        <f>B90+B87</f>
        <v>39500</v>
      </c>
      <c r="C91" s="18">
        <f>C87+C90</f>
        <v>85426.118678999992</v>
      </c>
      <c r="D91" s="18">
        <f>D90+D87</f>
        <v>69000</v>
      </c>
      <c r="E91" s="146" t="s">
        <v>108</v>
      </c>
      <c r="F91" s="14"/>
      <c r="G91" s="13"/>
      <c r="H91" s="13"/>
      <c r="I91" s="37"/>
    </row>
    <row r="92" spans="1:9" ht="20.25" x14ac:dyDescent="0.3">
      <c r="A92" s="39" t="s">
        <v>39</v>
      </c>
      <c r="B92" s="18">
        <f>B89-E97</f>
        <v>0</v>
      </c>
      <c r="C92" s="18">
        <f>C89-E102</f>
        <v>81418.088678999993</v>
      </c>
      <c r="D92" s="18">
        <f>D89-E106</f>
        <v>63000</v>
      </c>
      <c r="E92" s="146" t="s">
        <v>109</v>
      </c>
      <c r="F92" s="14"/>
      <c r="G92" s="13"/>
      <c r="H92" s="13"/>
      <c r="I92" s="37"/>
    </row>
    <row r="93" spans="1:9" x14ac:dyDescent="0.2">
      <c r="A93" s="39" t="s">
        <v>132</v>
      </c>
      <c r="B93" s="38">
        <f>B91-E97-F97</f>
        <v>0</v>
      </c>
      <c r="C93" s="38">
        <f>C91-E102-F102</f>
        <v>81418.088678999993</v>
      </c>
      <c r="D93" s="44">
        <f>D91-E106-F106</f>
        <v>63000</v>
      </c>
      <c r="E93" s="554" t="s">
        <v>110</v>
      </c>
      <c r="F93" s="555"/>
      <c r="G93" s="555"/>
      <c r="H93" s="555"/>
      <c r="I93" s="37"/>
    </row>
    <row r="94" spans="1:9" ht="21" thickBot="1" x14ac:dyDescent="0.35">
      <c r="A94" s="39"/>
      <c r="B94" s="13"/>
      <c r="C94" s="13"/>
      <c r="D94" s="13"/>
      <c r="E94" s="14"/>
      <c r="F94" s="14"/>
      <c r="G94" s="13"/>
      <c r="H94" s="13"/>
      <c r="I94" s="37"/>
    </row>
    <row r="95" spans="1:9" ht="51" x14ac:dyDescent="0.2">
      <c r="A95" s="19" t="s">
        <v>41</v>
      </c>
      <c r="B95" s="20" t="s">
        <v>34</v>
      </c>
      <c r="C95" s="20" t="s">
        <v>64</v>
      </c>
      <c r="D95" s="20" t="s">
        <v>63</v>
      </c>
      <c r="E95" s="20" t="s">
        <v>37</v>
      </c>
      <c r="F95" s="20" t="s">
        <v>48</v>
      </c>
      <c r="G95" s="20" t="s">
        <v>40</v>
      </c>
      <c r="H95" s="20" t="s">
        <v>38</v>
      </c>
      <c r="I95" s="21" t="s">
        <v>5</v>
      </c>
    </row>
    <row r="96" spans="1:9" x14ac:dyDescent="0.2">
      <c r="A96" s="22" t="s">
        <v>10</v>
      </c>
      <c r="B96" s="23" t="s">
        <v>10</v>
      </c>
      <c r="C96" s="57">
        <v>39500</v>
      </c>
      <c r="D96" s="50">
        <v>44586</v>
      </c>
      <c r="E96" s="57">
        <v>39500</v>
      </c>
      <c r="F96" s="57"/>
      <c r="G96" s="49" t="s">
        <v>881</v>
      </c>
      <c r="H96" s="23" t="s">
        <v>487</v>
      </c>
      <c r="I96" s="24"/>
    </row>
    <row r="97" spans="1:9" x14ac:dyDescent="0.2">
      <c r="A97" s="25" t="s">
        <v>43</v>
      </c>
      <c r="B97" s="26"/>
      <c r="C97" s="61">
        <f>C96</f>
        <v>39500</v>
      </c>
      <c r="D97" s="55"/>
      <c r="E97" s="61">
        <f>E96</f>
        <v>39500</v>
      </c>
      <c r="F97" s="61">
        <f>F96</f>
        <v>0</v>
      </c>
      <c r="G97" s="26"/>
      <c r="H97" s="26"/>
      <c r="I97" s="27"/>
    </row>
    <row r="98" spans="1:9" x14ac:dyDescent="0.2">
      <c r="A98" s="33"/>
      <c r="B98" s="33"/>
      <c r="C98" s="59"/>
      <c r="D98" s="123"/>
      <c r="E98" s="59"/>
      <c r="F98" s="59"/>
      <c r="G98" s="33"/>
      <c r="H98" s="33"/>
      <c r="I98" s="33"/>
    </row>
    <row r="99" spans="1:9" x14ac:dyDescent="0.2">
      <c r="A99" s="25" t="s">
        <v>44</v>
      </c>
      <c r="B99" s="219" t="s">
        <v>568</v>
      </c>
      <c r="C99" s="151">
        <v>1409.2</v>
      </c>
      <c r="D99" s="53" t="s">
        <v>915</v>
      </c>
      <c r="E99" s="151">
        <v>1409.2</v>
      </c>
      <c r="F99" s="151"/>
      <c r="G99" s="26" t="s">
        <v>915</v>
      </c>
      <c r="H99" s="26" t="s">
        <v>487</v>
      </c>
      <c r="I99" s="85"/>
    </row>
    <row r="100" spans="1:9" x14ac:dyDescent="0.2">
      <c r="A100" s="25"/>
      <c r="B100" s="219" t="s">
        <v>568</v>
      </c>
      <c r="C100" s="151">
        <v>2598.83</v>
      </c>
      <c r="D100" s="53" t="s">
        <v>936</v>
      </c>
      <c r="E100" s="58">
        <v>2598.83</v>
      </c>
      <c r="F100" s="151"/>
      <c r="G100" s="26" t="s">
        <v>936</v>
      </c>
      <c r="H100" s="26" t="s">
        <v>487</v>
      </c>
      <c r="I100" s="85"/>
    </row>
    <row r="101" spans="1:9" x14ac:dyDescent="0.2">
      <c r="A101" s="25"/>
      <c r="B101" s="219"/>
      <c r="C101" s="278"/>
      <c r="D101" s="53"/>
      <c r="E101" s="278"/>
      <c r="F101" s="151"/>
      <c r="G101" s="26"/>
      <c r="H101" s="26" t="s">
        <v>487</v>
      </c>
      <c r="I101" s="85"/>
    </row>
    <row r="102" spans="1:9" x14ac:dyDescent="0.2">
      <c r="A102" s="25" t="s">
        <v>43</v>
      </c>
      <c r="B102" s="26"/>
      <c r="C102" s="60">
        <f>C99+C100</f>
        <v>4008.0299999999997</v>
      </c>
      <c r="D102" s="55"/>
      <c r="E102" s="60">
        <f>E99+E100</f>
        <v>4008.0299999999997</v>
      </c>
      <c r="F102" s="60">
        <f>F99</f>
        <v>0</v>
      </c>
      <c r="G102" s="26"/>
      <c r="H102" s="26"/>
      <c r="I102" s="27"/>
    </row>
    <row r="103" spans="1:9" x14ac:dyDescent="0.2">
      <c r="A103" s="33"/>
      <c r="B103" s="33"/>
      <c r="C103" s="59"/>
      <c r="D103" s="123"/>
      <c r="E103" s="59"/>
      <c r="F103" s="59"/>
      <c r="G103" s="33"/>
      <c r="H103" s="33"/>
      <c r="I103" s="33"/>
    </row>
    <row r="104" spans="1:9" x14ac:dyDescent="0.2">
      <c r="A104" s="150" t="s">
        <v>42</v>
      </c>
      <c r="B104" s="149" t="s">
        <v>10</v>
      </c>
      <c r="C104" s="151">
        <v>6000</v>
      </c>
      <c r="D104" s="53" t="s">
        <v>960</v>
      </c>
      <c r="E104" s="151">
        <v>6000</v>
      </c>
      <c r="F104" s="151">
        <f>C104-E104</f>
        <v>0</v>
      </c>
      <c r="G104" s="145" t="s">
        <v>1096</v>
      </c>
      <c r="H104" s="145" t="s">
        <v>957</v>
      </c>
      <c r="I104" s="42"/>
    </row>
    <row r="105" spans="1:9" x14ac:dyDescent="0.2">
      <c r="A105" s="150"/>
      <c r="B105" s="145"/>
      <c r="C105" s="151"/>
      <c r="D105" s="53"/>
      <c r="E105" s="151"/>
      <c r="F105" s="58"/>
      <c r="G105" s="145"/>
      <c r="H105" s="145"/>
      <c r="I105" s="42"/>
    </row>
    <row r="106" spans="1:9" ht="13.5" thickBot="1" x14ac:dyDescent="0.25">
      <c r="A106" s="28" t="s">
        <v>43</v>
      </c>
      <c r="B106" s="29"/>
      <c r="C106" s="56">
        <f>SUM(C104:C105)</f>
        <v>6000</v>
      </c>
      <c r="D106" s="124"/>
      <c r="E106" s="56">
        <f>SUM(E104:E105)</f>
        <v>6000</v>
      </c>
      <c r="F106" s="56">
        <f>SUM(F104:F105)</f>
        <v>0</v>
      </c>
      <c r="G106" s="29"/>
      <c r="H106" s="29"/>
      <c r="I106" s="30"/>
    </row>
    <row r="107" spans="1:9" ht="13.5" thickBot="1" x14ac:dyDescent="0.25"/>
    <row r="108" spans="1:9" ht="21" thickBot="1" x14ac:dyDescent="0.25">
      <c r="A108" s="550" t="s">
        <v>787</v>
      </c>
      <c r="B108" s="551"/>
      <c r="C108" s="551"/>
      <c r="D108" s="551"/>
      <c r="E108" s="551"/>
      <c r="F108" s="551"/>
      <c r="G108" s="551"/>
      <c r="H108" s="551"/>
      <c r="I108" s="552"/>
    </row>
    <row r="109" spans="1:9" ht="20.25" x14ac:dyDescent="0.3">
      <c r="A109" s="39"/>
      <c r="B109" s="13" t="s">
        <v>780</v>
      </c>
      <c r="C109" s="13" t="s">
        <v>781</v>
      </c>
      <c r="D109" s="13" t="s">
        <v>782</v>
      </c>
      <c r="E109" s="14"/>
      <c r="F109" s="14"/>
      <c r="G109" s="13"/>
      <c r="H109" s="13"/>
      <c r="I109" s="37"/>
    </row>
    <row r="110" spans="1:9" ht="20.25" x14ac:dyDescent="0.3">
      <c r="A110" s="39" t="s">
        <v>784</v>
      </c>
      <c r="B110" s="18">
        <v>39500</v>
      </c>
      <c r="C110" s="18">
        <f>C133+(0.03*C133)</f>
        <v>41468.989649999996</v>
      </c>
      <c r="D110" s="18">
        <v>34500</v>
      </c>
      <c r="E110" s="14"/>
      <c r="F110" s="14"/>
      <c r="G110" s="13"/>
      <c r="H110" s="13"/>
      <c r="I110" s="37"/>
    </row>
    <row r="111" spans="1:9" ht="20.25" x14ac:dyDescent="0.3">
      <c r="A111" s="39" t="s">
        <v>36</v>
      </c>
      <c r="B111" s="18">
        <f>IF(B138&gt;B110,B110,B138)</f>
        <v>0</v>
      </c>
      <c r="C111" s="18">
        <f>IF(C138&gt;C110,C110,C138)</f>
        <v>41468.989649999996</v>
      </c>
      <c r="D111" s="18">
        <f>IF(D138&gt;D110,D110,D138)</f>
        <v>11281.740000000005</v>
      </c>
      <c r="E111" s="14"/>
      <c r="F111" s="14"/>
      <c r="G111" s="13"/>
      <c r="H111" s="13"/>
      <c r="I111" s="37"/>
    </row>
    <row r="112" spans="1:9" ht="20.25" x14ac:dyDescent="0.3">
      <c r="A112" s="39" t="s">
        <v>785</v>
      </c>
      <c r="B112" s="18">
        <f>SUM(B110:B111)</f>
        <v>39500</v>
      </c>
      <c r="C112" s="18">
        <f>SUM(C110:C111)</f>
        <v>82937.979299999992</v>
      </c>
      <c r="D112" s="18">
        <f>SUM(D110:D111)</f>
        <v>45781.740000000005</v>
      </c>
      <c r="E112" s="125" t="s">
        <v>107</v>
      </c>
      <c r="F112" s="14"/>
      <c r="G112" s="13"/>
      <c r="H112" s="13"/>
      <c r="I112" s="37"/>
    </row>
    <row r="113" spans="1:9" ht="20.25" x14ac:dyDescent="0.3">
      <c r="A113" s="39" t="s">
        <v>47</v>
      </c>
      <c r="B113" s="18">
        <f>B138</f>
        <v>0</v>
      </c>
      <c r="C113" s="18">
        <f>IF(C139&gt;C133,C133,C139)</f>
        <v>40261.154999999999</v>
      </c>
      <c r="D113" s="18">
        <f>IF(D139&gt;D133,D133,D139)</f>
        <v>11281.740000000005</v>
      </c>
      <c r="E113" s="14"/>
      <c r="F113" s="14"/>
      <c r="G113" s="13"/>
      <c r="H113" s="13"/>
      <c r="I113" s="37"/>
    </row>
    <row r="114" spans="1:9" ht="20.25" x14ac:dyDescent="0.3">
      <c r="A114" s="39" t="s">
        <v>479</v>
      </c>
      <c r="B114" s="18">
        <f>B113+B110</f>
        <v>39500</v>
      </c>
      <c r="C114" s="18">
        <f>C110+C113</f>
        <v>81730.144650000002</v>
      </c>
      <c r="D114" s="18">
        <f>D113+D110</f>
        <v>45781.740000000005</v>
      </c>
      <c r="E114" s="146" t="s">
        <v>108</v>
      </c>
      <c r="F114" s="14"/>
      <c r="G114" s="13"/>
      <c r="H114" s="13"/>
      <c r="I114" s="37"/>
    </row>
    <row r="115" spans="1:9" ht="20.25" x14ac:dyDescent="0.3">
      <c r="A115" s="39" t="s">
        <v>39</v>
      </c>
      <c r="B115" s="18">
        <f>B112-E120</f>
        <v>0</v>
      </c>
      <c r="C115" s="18">
        <f>C112-E125</f>
        <v>70015.169299999994</v>
      </c>
      <c r="D115" s="18">
        <f>D112-E129</f>
        <v>41495.740000000005</v>
      </c>
      <c r="E115" s="146" t="s">
        <v>109</v>
      </c>
      <c r="F115" s="14"/>
      <c r="G115" s="13"/>
      <c r="H115" s="13"/>
      <c r="I115" s="37"/>
    </row>
    <row r="116" spans="1:9" x14ac:dyDescent="0.2">
      <c r="A116" s="39" t="s">
        <v>132</v>
      </c>
      <c r="B116" s="38">
        <f>B114-E120-F120</f>
        <v>0</v>
      </c>
      <c r="C116" s="38">
        <f>C114-E125-F125</f>
        <v>68807.334650000004</v>
      </c>
      <c r="D116" s="44">
        <f>D114-E129-F129</f>
        <v>41495.740000000005</v>
      </c>
      <c r="E116" s="554" t="s">
        <v>110</v>
      </c>
      <c r="F116" s="555"/>
      <c r="G116" s="555"/>
      <c r="H116" s="555"/>
      <c r="I116" s="37"/>
    </row>
    <row r="117" spans="1:9" ht="21" thickBot="1" x14ac:dyDescent="0.35">
      <c r="A117" s="39"/>
      <c r="B117" s="13"/>
      <c r="C117" s="13"/>
      <c r="D117" s="13"/>
      <c r="E117" s="14"/>
      <c r="F117" s="14"/>
      <c r="G117" s="13"/>
      <c r="H117" s="13"/>
      <c r="I117" s="37"/>
    </row>
    <row r="118" spans="1:9" ht="51" x14ac:dyDescent="0.2">
      <c r="A118" s="19" t="s">
        <v>41</v>
      </c>
      <c r="B118" s="20" t="s">
        <v>34</v>
      </c>
      <c r="C118" s="20" t="s">
        <v>64</v>
      </c>
      <c r="D118" s="20" t="s">
        <v>63</v>
      </c>
      <c r="E118" s="20" t="s">
        <v>37</v>
      </c>
      <c r="F118" s="20" t="s">
        <v>48</v>
      </c>
      <c r="G118" s="20" t="s">
        <v>40</v>
      </c>
      <c r="H118" s="20" t="s">
        <v>38</v>
      </c>
      <c r="I118" s="21" t="s">
        <v>5</v>
      </c>
    </row>
    <row r="119" spans="1:9" x14ac:dyDescent="0.2">
      <c r="A119" s="22" t="s">
        <v>10</v>
      </c>
      <c r="B119" s="23" t="s">
        <v>10</v>
      </c>
      <c r="C119" s="57">
        <v>39500</v>
      </c>
      <c r="D119" s="50">
        <v>44201</v>
      </c>
      <c r="E119" s="57">
        <v>39500</v>
      </c>
      <c r="F119" s="57">
        <v>0</v>
      </c>
      <c r="G119" s="49" t="s">
        <v>798</v>
      </c>
      <c r="H119" s="23" t="s">
        <v>487</v>
      </c>
      <c r="I119" s="24"/>
    </row>
    <row r="120" spans="1:9" x14ac:dyDescent="0.2">
      <c r="A120" s="25" t="s">
        <v>43</v>
      </c>
      <c r="B120" s="26"/>
      <c r="C120" s="61">
        <f>C119</f>
        <v>39500</v>
      </c>
      <c r="D120" s="55"/>
      <c r="E120" s="61">
        <f>E119</f>
        <v>39500</v>
      </c>
      <c r="F120" s="61">
        <f>F119</f>
        <v>0</v>
      </c>
      <c r="G120" s="26"/>
      <c r="H120" s="26"/>
      <c r="I120" s="27"/>
    </row>
    <row r="121" spans="1:9" x14ac:dyDescent="0.2">
      <c r="A121" s="33"/>
      <c r="B121" s="33"/>
      <c r="C121" s="59"/>
      <c r="D121" s="123"/>
      <c r="E121" s="59"/>
      <c r="F121" s="59"/>
      <c r="G121" s="33"/>
      <c r="H121" s="33"/>
      <c r="I121" s="33"/>
    </row>
    <row r="122" spans="1:9" x14ac:dyDescent="0.2">
      <c r="A122" s="25" t="s">
        <v>44</v>
      </c>
      <c r="B122" s="219" t="s">
        <v>568</v>
      </c>
      <c r="C122" s="151"/>
      <c r="D122" s="53"/>
      <c r="E122" s="151"/>
      <c r="F122" s="151"/>
      <c r="G122" s="26"/>
      <c r="H122" s="26"/>
      <c r="I122" s="85"/>
    </row>
    <row r="123" spans="1:9" x14ac:dyDescent="0.2">
      <c r="A123" s="25"/>
      <c r="B123" s="219" t="s">
        <v>568</v>
      </c>
      <c r="C123" s="151">
        <v>9470.66</v>
      </c>
      <c r="D123" s="53">
        <v>44285</v>
      </c>
      <c r="E123" s="58">
        <f>C123</f>
        <v>9470.66</v>
      </c>
      <c r="F123" s="151">
        <v>0</v>
      </c>
      <c r="G123" s="26" t="s">
        <v>801</v>
      </c>
      <c r="H123" s="26" t="s">
        <v>487</v>
      </c>
      <c r="I123" s="85"/>
    </row>
    <row r="124" spans="1:9" x14ac:dyDescent="0.2">
      <c r="A124" s="25"/>
      <c r="B124" s="219"/>
      <c r="C124" s="278">
        <v>3452.15</v>
      </c>
      <c r="D124" s="53"/>
      <c r="E124" s="278">
        <v>3452.15</v>
      </c>
      <c r="F124" s="151"/>
      <c r="G124" s="26" t="s">
        <v>842</v>
      </c>
      <c r="H124" s="26" t="s">
        <v>487</v>
      </c>
      <c r="I124" s="85"/>
    </row>
    <row r="125" spans="1:9" x14ac:dyDescent="0.2">
      <c r="A125" s="25" t="s">
        <v>43</v>
      </c>
      <c r="B125" s="26"/>
      <c r="C125" s="60">
        <f>C123+C124</f>
        <v>12922.81</v>
      </c>
      <c r="D125" s="55"/>
      <c r="E125" s="60">
        <f>SUM(E123+E124)</f>
        <v>12922.81</v>
      </c>
      <c r="F125" s="60">
        <f>F123</f>
        <v>0</v>
      </c>
      <c r="G125" s="26"/>
      <c r="H125" s="26"/>
      <c r="I125" s="27"/>
    </row>
    <row r="126" spans="1:9" x14ac:dyDescent="0.2">
      <c r="A126" s="33"/>
      <c r="B126" s="33"/>
      <c r="C126" s="59"/>
      <c r="D126" s="123"/>
      <c r="E126" s="59"/>
      <c r="F126" s="59"/>
      <c r="G126" s="33"/>
      <c r="H126" s="33"/>
      <c r="I126" s="33"/>
    </row>
    <row r="127" spans="1:9" x14ac:dyDescent="0.2">
      <c r="A127" s="150" t="s">
        <v>42</v>
      </c>
      <c r="B127" s="149" t="s">
        <v>10</v>
      </c>
      <c r="C127" s="151">
        <v>4286</v>
      </c>
      <c r="D127" s="53" t="s">
        <v>852</v>
      </c>
      <c r="E127" s="151">
        <v>4286</v>
      </c>
      <c r="F127" s="151"/>
      <c r="G127" s="145" t="s">
        <v>944</v>
      </c>
      <c r="H127" s="145" t="s">
        <v>847</v>
      </c>
      <c r="I127" s="42"/>
    </row>
    <row r="128" spans="1:9" x14ac:dyDescent="0.2">
      <c r="A128" s="150"/>
      <c r="B128" s="145"/>
      <c r="C128" s="151"/>
      <c r="D128" s="53"/>
      <c r="E128" s="151"/>
      <c r="F128" s="58"/>
      <c r="G128" s="145"/>
      <c r="H128" s="145"/>
      <c r="I128" s="42"/>
    </row>
    <row r="129" spans="1:9" ht="13.5" thickBot="1" x14ac:dyDescent="0.25">
      <c r="A129" s="28" t="s">
        <v>43</v>
      </c>
      <c r="B129" s="29"/>
      <c r="C129" s="56">
        <f>SUM(C127:C128)</f>
        <v>4286</v>
      </c>
      <c r="D129" s="124"/>
      <c r="E129" s="56">
        <f>SUM(E127:E128)</f>
        <v>4286</v>
      </c>
      <c r="F129" s="56">
        <f>SUM(F127:F128)</f>
        <v>0</v>
      </c>
      <c r="G129" s="29"/>
      <c r="H129" s="29"/>
      <c r="I129" s="30"/>
    </row>
    <row r="130" spans="1:9" ht="13.5" thickBot="1" x14ac:dyDescent="0.25"/>
    <row r="131" spans="1:9" ht="21" thickBot="1" x14ac:dyDescent="0.25">
      <c r="A131" s="550" t="s">
        <v>704</v>
      </c>
      <c r="B131" s="551"/>
      <c r="C131" s="551"/>
      <c r="D131" s="551"/>
      <c r="E131" s="551"/>
      <c r="F131" s="551"/>
      <c r="G131" s="551"/>
      <c r="H131" s="551"/>
      <c r="I131" s="552"/>
    </row>
    <row r="132" spans="1:9" ht="20.25" x14ac:dyDescent="0.3">
      <c r="A132" s="39"/>
      <c r="B132" s="13" t="s">
        <v>697</v>
      </c>
      <c r="C132" s="13" t="s">
        <v>698</v>
      </c>
      <c r="D132" s="13" t="s">
        <v>699</v>
      </c>
      <c r="E132" s="14"/>
      <c r="F132" s="14"/>
      <c r="G132" s="13"/>
      <c r="H132" s="13"/>
      <c r="I132" s="37"/>
    </row>
    <row r="133" spans="1:9" ht="20.25" x14ac:dyDescent="0.3">
      <c r="A133" s="39" t="s">
        <v>701</v>
      </c>
      <c r="B133" s="18">
        <v>39500</v>
      </c>
      <c r="C133" s="18">
        <f>1.03*39088.5</f>
        <v>40261.154999999999</v>
      </c>
      <c r="D133" s="18">
        <v>34500</v>
      </c>
      <c r="E133" s="14"/>
      <c r="F133" s="14"/>
      <c r="G133" s="13"/>
      <c r="H133" s="13"/>
      <c r="I133" s="37"/>
    </row>
    <row r="134" spans="1:9" ht="20.25" x14ac:dyDescent="0.3">
      <c r="A134" s="39" t="s">
        <v>36</v>
      </c>
      <c r="B134" s="18">
        <f>IF(B165&gt;39500,39500,B165)</f>
        <v>0</v>
      </c>
      <c r="C134" s="18">
        <f>IF(C165&gt;39088.5,39088.5,C165)</f>
        <v>39088.5</v>
      </c>
      <c r="D134" s="18">
        <f>IF(D165&gt;34500,34500,D165)</f>
        <v>10256.740000000005</v>
      </c>
      <c r="E134" s="14"/>
      <c r="F134" s="14"/>
      <c r="G134" s="13"/>
      <c r="H134" s="13"/>
      <c r="I134" s="37"/>
    </row>
    <row r="135" spans="1:9" ht="20.25" x14ac:dyDescent="0.3">
      <c r="A135" s="39" t="s">
        <v>702</v>
      </c>
      <c r="B135" s="18">
        <f>SUM(B133:B134)</f>
        <v>39500</v>
      </c>
      <c r="C135" s="18">
        <f>SUM(C133:C134)</f>
        <v>79349.654999999999</v>
      </c>
      <c r="D135" s="18">
        <f>SUM(D133:D134)</f>
        <v>44756.740000000005</v>
      </c>
      <c r="E135" s="125" t="s">
        <v>107</v>
      </c>
      <c r="F135" s="14"/>
      <c r="G135" s="13"/>
      <c r="H135" s="13"/>
      <c r="I135" s="37"/>
    </row>
    <row r="136" spans="1:9" ht="20.25" x14ac:dyDescent="0.3">
      <c r="A136" s="39" t="s">
        <v>47</v>
      </c>
      <c r="B136" s="18">
        <f>B165</f>
        <v>0</v>
      </c>
      <c r="C136" s="18">
        <f>IF(C166&gt;39088.5,39088.5,C166)</f>
        <v>39088.5</v>
      </c>
      <c r="D136" s="18">
        <f>IF(D166&gt;34500,34500,D166)</f>
        <v>10256.740000000005</v>
      </c>
      <c r="E136" s="14"/>
      <c r="F136" s="14"/>
      <c r="G136" s="13"/>
      <c r="H136" s="13"/>
      <c r="I136" s="37"/>
    </row>
    <row r="137" spans="1:9" ht="20.25" x14ac:dyDescent="0.3">
      <c r="A137" s="39" t="s">
        <v>45</v>
      </c>
      <c r="B137" s="18">
        <f>B136+B133</f>
        <v>39500</v>
      </c>
      <c r="C137" s="18">
        <f>C136+C133</f>
        <v>79349.654999999999</v>
      </c>
      <c r="D137" s="18">
        <f>D136+D133</f>
        <v>44756.740000000005</v>
      </c>
      <c r="E137" s="146" t="s">
        <v>108</v>
      </c>
      <c r="F137" s="14"/>
      <c r="G137" s="13"/>
      <c r="H137" s="13"/>
      <c r="I137" s="37"/>
    </row>
    <row r="138" spans="1:9" ht="20.25" x14ac:dyDescent="0.3">
      <c r="A138" s="39" t="s">
        <v>39</v>
      </c>
      <c r="B138" s="18">
        <f>B135-E143</f>
        <v>0</v>
      </c>
      <c r="C138" s="18">
        <f>C135-E147</f>
        <v>79349.654999999999</v>
      </c>
      <c r="D138" s="18">
        <f>D135-E156</f>
        <v>11281.740000000005</v>
      </c>
      <c r="E138" s="146" t="s">
        <v>109</v>
      </c>
      <c r="F138" s="14"/>
      <c r="G138" s="13"/>
      <c r="H138" s="13"/>
      <c r="I138" s="37"/>
    </row>
    <row r="139" spans="1:9" x14ac:dyDescent="0.2">
      <c r="A139" s="39" t="s">
        <v>35</v>
      </c>
      <c r="B139" s="38">
        <f>B137-E143-F143</f>
        <v>0</v>
      </c>
      <c r="C139" s="38">
        <f>C137-E147-F147</f>
        <v>79349.654999999999</v>
      </c>
      <c r="D139" s="44">
        <f>D137-E156-F156</f>
        <v>11281.740000000005</v>
      </c>
      <c r="E139" s="554" t="s">
        <v>110</v>
      </c>
      <c r="F139" s="555"/>
      <c r="G139" s="555"/>
      <c r="H139" s="555"/>
      <c r="I139" s="37"/>
    </row>
    <row r="140" spans="1:9" ht="21" thickBot="1" x14ac:dyDescent="0.35">
      <c r="A140" s="39"/>
      <c r="B140" s="13"/>
      <c r="C140" s="13"/>
      <c r="D140" s="13"/>
      <c r="E140" s="14"/>
      <c r="F140" s="14"/>
      <c r="G140" s="13"/>
      <c r="H140" s="13"/>
      <c r="I140" s="37"/>
    </row>
    <row r="141" spans="1:9" ht="51" x14ac:dyDescent="0.2">
      <c r="A141" s="19" t="s">
        <v>41</v>
      </c>
      <c r="B141" s="20" t="s">
        <v>34</v>
      </c>
      <c r="C141" s="20" t="s">
        <v>64</v>
      </c>
      <c r="D141" s="20" t="s">
        <v>63</v>
      </c>
      <c r="E141" s="20" t="s">
        <v>37</v>
      </c>
      <c r="F141" s="20" t="s">
        <v>48</v>
      </c>
      <c r="G141" s="20" t="s">
        <v>40</v>
      </c>
      <c r="H141" s="20" t="s">
        <v>38</v>
      </c>
      <c r="I141" s="21" t="s">
        <v>5</v>
      </c>
    </row>
    <row r="142" spans="1:9" x14ac:dyDescent="0.2">
      <c r="A142" s="22" t="s">
        <v>10</v>
      </c>
      <c r="B142" s="23" t="s">
        <v>10</v>
      </c>
      <c r="C142" s="57">
        <v>39500</v>
      </c>
      <c r="D142" s="50">
        <v>43832</v>
      </c>
      <c r="E142" s="57">
        <v>39500</v>
      </c>
      <c r="F142" s="57"/>
      <c r="G142" s="49" t="s">
        <v>708</v>
      </c>
      <c r="H142" s="23" t="s">
        <v>487</v>
      </c>
      <c r="I142" s="24"/>
    </row>
    <row r="143" spans="1:9" x14ac:dyDescent="0.2">
      <c r="A143" s="25" t="s">
        <v>43</v>
      </c>
      <c r="B143" s="26"/>
      <c r="C143" s="61">
        <f>C142</f>
        <v>39500</v>
      </c>
      <c r="D143" s="55"/>
      <c r="E143" s="61">
        <f>E142</f>
        <v>39500</v>
      </c>
      <c r="F143" s="61">
        <f>F142</f>
        <v>0</v>
      </c>
      <c r="G143" s="26"/>
      <c r="H143" s="26"/>
      <c r="I143" s="27"/>
    </row>
    <row r="144" spans="1:9" x14ac:dyDescent="0.2">
      <c r="A144" s="33"/>
      <c r="B144" s="33"/>
      <c r="C144" s="59"/>
      <c r="D144" s="123"/>
      <c r="E144" s="59"/>
      <c r="F144" s="59"/>
      <c r="G144" s="33"/>
      <c r="H144" s="33"/>
      <c r="I144" s="33"/>
    </row>
    <row r="145" spans="1:9" x14ac:dyDescent="0.2">
      <c r="A145" s="25" t="s">
        <v>44</v>
      </c>
      <c r="B145" s="219" t="s">
        <v>568</v>
      </c>
      <c r="C145" s="58"/>
      <c r="D145" s="55"/>
      <c r="E145" s="58"/>
      <c r="F145" s="58"/>
      <c r="G145" s="26"/>
      <c r="H145" s="26" t="s">
        <v>604</v>
      </c>
      <c r="I145" s="85"/>
    </row>
    <row r="146" spans="1:9" x14ac:dyDescent="0.2">
      <c r="A146" s="25"/>
      <c r="B146" s="219" t="s">
        <v>568</v>
      </c>
      <c r="C146" s="58"/>
      <c r="D146" s="55"/>
      <c r="E146" s="58"/>
      <c r="F146" s="58"/>
      <c r="G146" s="26"/>
      <c r="H146" s="26" t="s">
        <v>604</v>
      </c>
      <c r="I146" s="85"/>
    </row>
    <row r="147" spans="1:9" x14ac:dyDescent="0.2">
      <c r="A147" s="25" t="s">
        <v>43</v>
      </c>
      <c r="B147" s="26"/>
      <c r="C147" s="60">
        <f>C146</f>
        <v>0</v>
      </c>
      <c r="D147" s="55"/>
      <c r="E147" s="60">
        <f>E145</f>
        <v>0</v>
      </c>
      <c r="F147" s="60">
        <f>F146</f>
        <v>0</v>
      </c>
      <c r="G147" s="26"/>
      <c r="H147" s="26"/>
      <c r="I147" s="27"/>
    </row>
    <row r="148" spans="1:9" x14ac:dyDescent="0.2">
      <c r="A148" s="33"/>
      <c r="B148" s="33"/>
      <c r="C148" s="59"/>
      <c r="D148" s="123"/>
      <c r="E148" s="59"/>
      <c r="F148" s="59"/>
      <c r="G148" s="33"/>
      <c r="H148" s="33"/>
      <c r="I148" s="33"/>
    </row>
    <row r="149" spans="1:9" x14ac:dyDescent="0.2">
      <c r="A149" s="150" t="s">
        <v>42</v>
      </c>
      <c r="B149" s="149"/>
      <c r="C149" s="151"/>
      <c r="D149" s="148"/>
      <c r="E149" s="151"/>
      <c r="F149" s="58">
        <f>C149-E149</f>
        <v>0</v>
      </c>
      <c r="G149" s="145"/>
      <c r="H149" s="149"/>
      <c r="I149" s="42"/>
    </row>
    <row r="150" spans="1:9" x14ac:dyDescent="0.2">
      <c r="A150" s="150"/>
      <c r="B150" s="225" t="s">
        <v>10</v>
      </c>
      <c r="C150" s="151">
        <v>1333</v>
      </c>
      <c r="D150" s="53" t="s">
        <v>726</v>
      </c>
      <c r="E150" s="151">
        <v>664</v>
      </c>
      <c r="F150" s="58">
        <f>C150-E150</f>
        <v>669</v>
      </c>
      <c r="G150" s="145" t="s">
        <v>778</v>
      </c>
      <c r="H150" s="145" t="s">
        <v>719</v>
      </c>
      <c r="I150" s="42" t="s">
        <v>100</v>
      </c>
    </row>
    <row r="151" spans="1:9" x14ac:dyDescent="0.2">
      <c r="A151" s="150"/>
      <c r="B151" s="225"/>
      <c r="C151" s="151"/>
      <c r="D151" s="53"/>
      <c r="E151" s="151"/>
      <c r="F151" s="58">
        <v>-669</v>
      </c>
      <c r="G151" s="145"/>
      <c r="H151" s="145"/>
      <c r="I151" s="42"/>
    </row>
    <row r="152" spans="1:9" x14ac:dyDescent="0.2">
      <c r="A152" s="150"/>
      <c r="B152" s="145" t="s">
        <v>10</v>
      </c>
      <c r="C152" s="151">
        <v>21711</v>
      </c>
      <c r="D152" s="53" t="s">
        <v>740</v>
      </c>
      <c r="E152" s="145">
        <v>11100</v>
      </c>
      <c r="F152" s="58">
        <f>C152-E152</f>
        <v>10611</v>
      </c>
      <c r="G152" s="145" t="s">
        <v>770</v>
      </c>
      <c r="H152" s="145" t="s">
        <v>736</v>
      </c>
      <c r="I152" s="42"/>
    </row>
    <row r="153" spans="1:9" x14ac:dyDescent="0.2">
      <c r="A153" s="150"/>
      <c r="B153" s="145"/>
      <c r="C153" s="151"/>
      <c r="D153" s="53"/>
      <c r="E153" s="145"/>
      <c r="F153" s="58">
        <v>-10611</v>
      </c>
      <c r="G153" s="145"/>
      <c r="H153" s="145"/>
      <c r="I153" s="42" t="s">
        <v>767</v>
      </c>
    </row>
    <row r="154" spans="1:9" x14ac:dyDescent="0.2">
      <c r="A154" s="150"/>
      <c r="B154" s="145" t="s">
        <v>532</v>
      </c>
      <c r="C154" s="151">
        <v>21711</v>
      </c>
      <c r="D154" s="53" t="s">
        <v>752</v>
      </c>
      <c r="E154" s="145">
        <v>21711</v>
      </c>
      <c r="F154" s="58">
        <f>C154-E154</f>
        <v>0</v>
      </c>
      <c r="G154" s="145" t="s">
        <v>771</v>
      </c>
      <c r="H154" s="145" t="s">
        <v>736</v>
      </c>
      <c r="I154" s="42"/>
    </row>
    <row r="155" spans="1:9" x14ac:dyDescent="0.2">
      <c r="A155" s="131"/>
      <c r="B155" s="163"/>
      <c r="C155" s="151"/>
      <c r="D155" s="167"/>
      <c r="E155" s="91"/>
      <c r="F155" s="58"/>
      <c r="G155" s="91"/>
      <c r="H155" s="145"/>
      <c r="I155" s="132"/>
    </row>
    <row r="156" spans="1:9" ht="13.5" thickBot="1" x14ac:dyDescent="0.25">
      <c r="A156" s="28" t="s">
        <v>43</v>
      </c>
      <c r="B156" s="29"/>
      <c r="C156" s="56">
        <f>SUM(C149:C155)</f>
        <v>44755</v>
      </c>
      <c r="D156" s="124"/>
      <c r="E156" s="56">
        <f>SUM(E149:E155)</f>
        <v>33475</v>
      </c>
      <c r="F156" s="56">
        <f>SUM(F149:F155)</f>
        <v>0</v>
      </c>
      <c r="G156" s="29"/>
      <c r="H156" s="29"/>
      <c r="I156" s="30"/>
    </row>
    <row r="157" spans="1:9" ht="13.5" thickBot="1" x14ac:dyDescent="0.25"/>
    <row r="158" spans="1:9" ht="21" thickBot="1" x14ac:dyDescent="0.25">
      <c r="A158" s="550" t="s">
        <v>608</v>
      </c>
      <c r="B158" s="551"/>
      <c r="C158" s="551"/>
      <c r="D158" s="551"/>
      <c r="E158" s="551"/>
      <c r="F158" s="551"/>
      <c r="G158" s="551"/>
      <c r="H158" s="551"/>
      <c r="I158" s="552"/>
    </row>
    <row r="159" spans="1:9" ht="20.25" x14ac:dyDescent="0.3">
      <c r="A159" s="39"/>
      <c r="B159" s="13" t="s">
        <v>600</v>
      </c>
      <c r="C159" s="13" t="s">
        <v>601</v>
      </c>
      <c r="D159" s="13" t="s">
        <v>602</v>
      </c>
      <c r="E159" s="14"/>
      <c r="F159" s="14"/>
      <c r="G159" s="13"/>
      <c r="H159" s="13"/>
      <c r="I159" s="37"/>
    </row>
    <row r="160" spans="1:9" ht="20.25" x14ac:dyDescent="0.3">
      <c r="A160" s="39" t="s">
        <v>606</v>
      </c>
      <c r="B160" s="18">
        <v>39500</v>
      </c>
      <c r="C160" s="18">
        <f>1.03*C185</f>
        <v>39088.5</v>
      </c>
      <c r="D160" s="18">
        <v>34500</v>
      </c>
      <c r="E160" s="14"/>
      <c r="F160" s="14"/>
      <c r="G160" s="13"/>
      <c r="H160" s="13"/>
      <c r="I160" s="37"/>
    </row>
    <row r="161" spans="1:9" ht="20.25" x14ac:dyDescent="0.3">
      <c r="A161" s="39" t="s">
        <v>36</v>
      </c>
      <c r="B161" s="18">
        <f>IF(B190&gt;34500,34500,B190)</f>
        <v>0</v>
      </c>
      <c r="C161" s="18">
        <f>IF(C190&gt;37950,37950,C190)</f>
        <v>37950</v>
      </c>
      <c r="D161" s="18">
        <f>IF(D190&gt;34500,34500,D190)</f>
        <v>7146.7400000000052</v>
      </c>
      <c r="E161" s="14"/>
      <c r="F161" s="14"/>
      <c r="G161" s="13"/>
      <c r="H161" s="13"/>
      <c r="I161" s="37"/>
    </row>
    <row r="162" spans="1:9" ht="20.25" x14ac:dyDescent="0.3">
      <c r="A162" s="39" t="s">
        <v>603</v>
      </c>
      <c r="B162" s="18">
        <f>SUM(B160:B161)</f>
        <v>39500</v>
      </c>
      <c r="C162" s="18">
        <f>SUM(C160:C161)</f>
        <v>77038.5</v>
      </c>
      <c r="D162" s="18">
        <f>SUM(D160:D161)</f>
        <v>41646.740000000005</v>
      </c>
      <c r="E162" s="125" t="s">
        <v>107</v>
      </c>
      <c r="F162" s="14"/>
      <c r="G162" s="13"/>
      <c r="H162" s="13"/>
      <c r="I162" s="37"/>
    </row>
    <row r="163" spans="1:9" ht="20.25" x14ac:dyDescent="0.3">
      <c r="A163" s="39" t="s">
        <v>47</v>
      </c>
      <c r="B163" s="18">
        <f>B191</f>
        <v>0</v>
      </c>
      <c r="C163" s="18">
        <f>IF(C191&gt;37950,37950,C191)</f>
        <v>37950</v>
      </c>
      <c r="D163" s="18">
        <f>IF(D191&gt;34500,34500,D191)</f>
        <v>7146.7400000000052</v>
      </c>
      <c r="E163" s="14"/>
      <c r="F163" s="14"/>
      <c r="G163" s="13"/>
      <c r="H163" s="13"/>
      <c r="I163" s="37"/>
    </row>
    <row r="164" spans="1:9" ht="20.25" x14ac:dyDescent="0.3">
      <c r="A164" s="39" t="s">
        <v>45</v>
      </c>
      <c r="B164" s="18">
        <f>B163+B160</f>
        <v>39500</v>
      </c>
      <c r="C164" s="18">
        <f>C163+C160</f>
        <v>77038.5</v>
      </c>
      <c r="D164" s="18">
        <f>D163+D160</f>
        <v>41646.740000000005</v>
      </c>
      <c r="E164" s="146" t="s">
        <v>108</v>
      </c>
      <c r="F164" s="14"/>
      <c r="G164" s="13"/>
      <c r="H164" s="13"/>
      <c r="I164" s="37"/>
    </row>
    <row r="165" spans="1:9" ht="20.25" x14ac:dyDescent="0.3">
      <c r="A165" s="39" t="s">
        <v>39</v>
      </c>
      <c r="B165" s="18">
        <f>B162-E170</f>
        <v>0</v>
      </c>
      <c r="C165" s="18">
        <f>C162-E174</f>
        <v>71852.2</v>
      </c>
      <c r="D165" s="18">
        <f>D162-E181</f>
        <v>10256.740000000005</v>
      </c>
      <c r="E165" s="146" t="s">
        <v>109</v>
      </c>
      <c r="F165" s="14"/>
      <c r="G165" s="13"/>
      <c r="H165" s="13"/>
      <c r="I165" s="37"/>
    </row>
    <row r="166" spans="1:9" x14ac:dyDescent="0.2">
      <c r="A166" s="39" t="s">
        <v>35</v>
      </c>
      <c r="B166" s="38">
        <f>B164-E170-F170</f>
        <v>0</v>
      </c>
      <c r="C166" s="38">
        <f>C164-E174-F174</f>
        <v>71852.2</v>
      </c>
      <c r="D166" s="44">
        <f>D164-E181-F181</f>
        <v>10256.740000000005</v>
      </c>
      <c r="E166" s="554" t="s">
        <v>110</v>
      </c>
      <c r="F166" s="555"/>
      <c r="G166" s="555"/>
      <c r="H166" s="555"/>
      <c r="I166" s="37"/>
    </row>
    <row r="167" spans="1:9" ht="21" thickBot="1" x14ac:dyDescent="0.35">
      <c r="A167" s="39"/>
      <c r="B167" s="13"/>
      <c r="C167" s="13"/>
      <c r="D167" s="13"/>
      <c r="E167" s="14"/>
      <c r="F167" s="14"/>
      <c r="G167" s="13"/>
      <c r="H167" s="13"/>
      <c r="I167" s="37"/>
    </row>
    <row r="168" spans="1:9" ht="51" x14ac:dyDescent="0.2">
      <c r="A168" s="19" t="s">
        <v>41</v>
      </c>
      <c r="B168" s="20" t="s">
        <v>34</v>
      </c>
      <c r="C168" s="20" t="s">
        <v>64</v>
      </c>
      <c r="D168" s="20" t="s">
        <v>63</v>
      </c>
      <c r="E168" s="20" t="s">
        <v>37</v>
      </c>
      <c r="F168" s="20" t="s">
        <v>48</v>
      </c>
      <c r="G168" s="20" t="s">
        <v>40</v>
      </c>
      <c r="H168" s="20" t="s">
        <v>38</v>
      </c>
      <c r="I168" s="21" t="s">
        <v>5</v>
      </c>
    </row>
    <row r="169" spans="1:9" x14ac:dyDescent="0.2">
      <c r="A169" s="22" t="s">
        <v>10</v>
      </c>
      <c r="B169" s="23" t="s">
        <v>10</v>
      </c>
      <c r="C169" s="57">
        <v>39500</v>
      </c>
      <c r="D169" s="50">
        <v>43467</v>
      </c>
      <c r="E169" s="57">
        <f>C169</f>
        <v>39500</v>
      </c>
      <c r="F169" s="57"/>
      <c r="G169" s="49" t="s">
        <v>623</v>
      </c>
      <c r="H169" s="23" t="s">
        <v>487</v>
      </c>
      <c r="I169" s="24"/>
    </row>
    <row r="170" spans="1:9" x14ac:dyDescent="0.2">
      <c r="A170" s="25" t="s">
        <v>43</v>
      </c>
      <c r="B170" s="26"/>
      <c r="C170" s="61">
        <f>C169</f>
        <v>39500</v>
      </c>
      <c r="D170" s="55"/>
      <c r="E170" s="61">
        <f>E169</f>
        <v>39500</v>
      </c>
      <c r="F170" s="61">
        <f>F169</f>
        <v>0</v>
      </c>
      <c r="G170" s="26"/>
      <c r="H170" s="26"/>
      <c r="I170" s="27"/>
    </row>
    <row r="171" spans="1:9" x14ac:dyDescent="0.2">
      <c r="A171" s="33"/>
      <c r="B171" s="33"/>
      <c r="C171" s="59"/>
      <c r="D171" s="123"/>
      <c r="E171" s="59"/>
      <c r="F171" s="59"/>
      <c r="G171" s="33"/>
      <c r="H171" s="33"/>
      <c r="I171" s="33"/>
    </row>
    <row r="172" spans="1:9" x14ac:dyDescent="0.2">
      <c r="A172" s="25" t="s">
        <v>44</v>
      </c>
      <c r="B172" s="219" t="s">
        <v>568</v>
      </c>
      <c r="C172" s="58">
        <v>5186.3</v>
      </c>
      <c r="D172" s="55">
        <v>43741</v>
      </c>
      <c r="E172" s="58">
        <v>5186.3</v>
      </c>
      <c r="F172" s="58">
        <v>0</v>
      </c>
      <c r="G172" s="26" t="s">
        <v>680</v>
      </c>
      <c r="H172" s="26" t="s">
        <v>604</v>
      </c>
      <c r="I172" s="85"/>
    </row>
    <row r="173" spans="1:9" x14ac:dyDescent="0.2">
      <c r="A173" s="25"/>
      <c r="B173" s="219"/>
      <c r="C173" s="58">
        <v>5428.05</v>
      </c>
      <c r="D173" s="55">
        <v>43921</v>
      </c>
      <c r="E173" s="58">
        <v>5428.05</v>
      </c>
      <c r="F173" s="58"/>
      <c r="G173" s="26" t="s">
        <v>739</v>
      </c>
      <c r="H173" s="26"/>
      <c r="I173" s="85"/>
    </row>
    <row r="174" spans="1:9" x14ac:dyDescent="0.2">
      <c r="A174" s="25" t="s">
        <v>43</v>
      </c>
      <c r="B174" s="26"/>
      <c r="C174" s="60">
        <f>C172</f>
        <v>5186.3</v>
      </c>
      <c r="D174" s="55"/>
      <c r="E174" s="60">
        <f>E172</f>
        <v>5186.3</v>
      </c>
      <c r="F174" s="60">
        <f>F172</f>
        <v>0</v>
      </c>
      <c r="G174" s="26"/>
      <c r="H174" s="26"/>
      <c r="I174" s="27"/>
    </row>
    <row r="175" spans="1:9" x14ac:dyDescent="0.2">
      <c r="A175" s="33"/>
      <c r="B175" s="33"/>
      <c r="C175" s="59"/>
      <c r="D175" s="123"/>
      <c r="E175" s="59"/>
      <c r="F175" s="59"/>
      <c r="G175" s="33"/>
      <c r="H175" s="33"/>
      <c r="I175" s="33"/>
    </row>
    <row r="176" spans="1:9" x14ac:dyDescent="0.2">
      <c r="A176" s="150" t="s">
        <v>42</v>
      </c>
      <c r="B176" s="149"/>
      <c r="C176" s="151"/>
      <c r="D176" s="148"/>
      <c r="E176" s="151"/>
      <c r="F176" s="58">
        <f>C176-E176</f>
        <v>0</v>
      </c>
      <c r="G176" s="145"/>
      <c r="H176" s="149"/>
      <c r="I176" s="42"/>
    </row>
    <row r="177" spans="1:9" x14ac:dyDescent="0.2">
      <c r="A177" s="150"/>
      <c r="B177" s="225" t="s">
        <v>568</v>
      </c>
      <c r="C177" s="151">
        <v>19880</v>
      </c>
      <c r="D177" s="53" t="s">
        <v>662</v>
      </c>
      <c r="E177" s="151">
        <v>19880</v>
      </c>
      <c r="F177" s="58">
        <f>C177-E177</f>
        <v>0</v>
      </c>
      <c r="G177" s="239" t="s">
        <v>714</v>
      </c>
      <c r="H177" s="145" t="s">
        <v>661</v>
      </c>
      <c r="I177" s="42" t="s">
        <v>100</v>
      </c>
    </row>
    <row r="178" spans="1:9" x14ac:dyDescent="0.2">
      <c r="A178" s="150"/>
      <c r="B178" s="145" t="s">
        <v>10</v>
      </c>
      <c r="C178" s="151">
        <v>20000</v>
      </c>
      <c r="D178" s="53" t="s">
        <v>663</v>
      </c>
      <c r="E178" s="151">
        <v>11510</v>
      </c>
      <c r="F178" s="58">
        <f>C178-E178</f>
        <v>8490</v>
      </c>
      <c r="G178" s="239" t="s">
        <v>715</v>
      </c>
      <c r="H178" s="145" t="s">
        <v>661</v>
      </c>
      <c r="I178" s="42" t="s">
        <v>100</v>
      </c>
    </row>
    <row r="179" spans="1:9" x14ac:dyDescent="0.2">
      <c r="A179" s="150"/>
      <c r="B179" s="145"/>
      <c r="C179" s="151"/>
      <c r="D179" s="53"/>
      <c r="E179" s="145"/>
      <c r="F179" s="58">
        <v>-8490</v>
      </c>
      <c r="G179" s="145"/>
      <c r="H179" s="145"/>
      <c r="I179" s="42" t="s">
        <v>693</v>
      </c>
    </row>
    <row r="180" spans="1:9" x14ac:dyDescent="0.2">
      <c r="A180" s="131"/>
      <c r="B180" s="163"/>
      <c r="C180" s="151"/>
      <c r="D180" s="167"/>
      <c r="E180" s="91"/>
      <c r="F180" s="58"/>
      <c r="G180" s="91"/>
      <c r="H180" s="145"/>
      <c r="I180" s="132"/>
    </row>
    <row r="181" spans="1:9" ht="13.5" thickBot="1" x14ac:dyDescent="0.25">
      <c r="A181" s="28" t="s">
        <v>43</v>
      </c>
      <c r="B181" s="29"/>
      <c r="C181" s="56">
        <f>SUM(C176:C180)</f>
        <v>39880</v>
      </c>
      <c r="D181" s="124"/>
      <c r="E181" s="56">
        <f>SUM(E176:E180)</f>
        <v>31390</v>
      </c>
      <c r="F181" s="56">
        <f>SUM(F176:F180)</f>
        <v>0</v>
      </c>
      <c r="G181" s="29"/>
      <c r="H181" s="29"/>
      <c r="I181" s="30"/>
    </row>
    <row r="182" spans="1:9" ht="13.5" thickBot="1" x14ac:dyDescent="0.25"/>
    <row r="183" spans="1:9" ht="21" thickBot="1" x14ac:dyDescent="0.25">
      <c r="A183" s="550" t="s">
        <v>486</v>
      </c>
      <c r="B183" s="551"/>
      <c r="C183" s="551"/>
      <c r="D183" s="551"/>
      <c r="E183" s="551"/>
      <c r="F183" s="551"/>
      <c r="G183" s="551"/>
      <c r="H183" s="551"/>
      <c r="I183" s="552"/>
    </row>
    <row r="184" spans="1:9" ht="20.25" x14ac:dyDescent="0.3">
      <c r="A184" s="39"/>
      <c r="B184" s="13" t="s">
        <v>472</v>
      </c>
      <c r="C184" s="13" t="s">
        <v>473</v>
      </c>
      <c r="D184" s="13" t="s">
        <v>474</v>
      </c>
      <c r="E184" s="14"/>
      <c r="F184" s="14"/>
      <c r="G184" s="13"/>
      <c r="H184" s="13"/>
      <c r="I184" s="37"/>
    </row>
    <row r="185" spans="1:9" ht="20.25" x14ac:dyDescent="0.3">
      <c r="A185" s="39" t="s">
        <v>477</v>
      </c>
      <c r="B185" s="18">
        <v>39500</v>
      </c>
      <c r="C185" s="18">
        <v>37950</v>
      </c>
      <c r="D185" s="18">
        <v>34500</v>
      </c>
      <c r="E185" s="14"/>
      <c r="F185" s="14"/>
      <c r="G185" s="13"/>
      <c r="H185" s="13"/>
      <c r="I185" s="37"/>
    </row>
    <row r="186" spans="1:9" ht="20.25" x14ac:dyDescent="0.3">
      <c r="A186" s="39" t="s">
        <v>36</v>
      </c>
      <c r="B186" s="18">
        <f>IF(B219&gt;34500,34500,B219)</f>
        <v>0</v>
      </c>
      <c r="C186" s="18">
        <f>IF(C219&gt;34500,34500,C219)</f>
        <v>34500</v>
      </c>
      <c r="D186" s="18">
        <f>IF(D219&gt;34500,34500,D219)</f>
        <v>34500</v>
      </c>
      <c r="E186" s="14"/>
      <c r="F186" s="14"/>
      <c r="G186" s="13"/>
      <c r="H186" s="13"/>
      <c r="I186" s="37"/>
    </row>
    <row r="187" spans="1:9" ht="20.25" x14ac:dyDescent="0.3">
      <c r="A187" s="39" t="s">
        <v>475</v>
      </c>
      <c r="B187" s="18">
        <f>SUM(B185:B186)</f>
        <v>39500</v>
      </c>
      <c r="C187" s="18">
        <f>SUM(C185:C186)</f>
        <v>72450</v>
      </c>
      <c r="D187" s="18">
        <f>SUM(D185:D186)</f>
        <v>69000</v>
      </c>
      <c r="E187" s="125" t="s">
        <v>107</v>
      </c>
      <c r="F187" s="14"/>
      <c r="G187" s="13"/>
      <c r="H187" s="13"/>
      <c r="I187" s="37"/>
    </row>
    <row r="188" spans="1:9" ht="20.25" x14ac:dyDescent="0.3">
      <c r="A188" s="39" t="s">
        <v>47</v>
      </c>
      <c r="B188" s="18">
        <f>B220</f>
        <v>0</v>
      </c>
      <c r="C188" s="18">
        <f>IF(C220&gt;34500,34500,C220)</f>
        <v>34500</v>
      </c>
      <c r="D188" s="18">
        <f>IF(D220&gt;34500,34500,D220)</f>
        <v>34500</v>
      </c>
      <c r="E188" s="14"/>
      <c r="F188" s="14"/>
      <c r="G188" s="13"/>
      <c r="H188" s="13"/>
      <c r="I188" s="37"/>
    </row>
    <row r="189" spans="1:9" ht="20.25" x14ac:dyDescent="0.3">
      <c r="A189" s="39" t="s">
        <v>45</v>
      </c>
      <c r="B189" s="18">
        <f>B188+B185</f>
        <v>39500</v>
      </c>
      <c r="C189" s="18">
        <f>C188+C185</f>
        <v>72450</v>
      </c>
      <c r="D189" s="18">
        <f>D188+D185</f>
        <v>69000</v>
      </c>
      <c r="E189" s="146" t="s">
        <v>108</v>
      </c>
      <c r="F189" s="14"/>
      <c r="G189" s="13"/>
      <c r="H189" s="13"/>
      <c r="I189" s="37"/>
    </row>
    <row r="190" spans="1:9" ht="20.25" x14ac:dyDescent="0.3">
      <c r="A190" s="39" t="s">
        <v>39</v>
      </c>
      <c r="B190" s="18">
        <f>B187-E195</f>
        <v>0</v>
      </c>
      <c r="C190" s="18">
        <f>C187-E199</f>
        <v>64330.42</v>
      </c>
      <c r="D190" s="18">
        <f>D187-E210</f>
        <v>7146.7400000000052</v>
      </c>
      <c r="E190" s="146" t="s">
        <v>109</v>
      </c>
      <c r="F190" s="14"/>
      <c r="G190" s="13"/>
      <c r="H190" s="13"/>
      <c r="I190" s="37"/>
    </row>
    <row r="191" spans="1:9" x14ac:dyDescent="0.2">
      <c r="A191" s="39" t="s">
        <v>35</v>
      </c>
      <c r="B191" s="38">
        <f>B189-E195-F195</f>
        <v>0</v>
      </c>
      <c r="C191" s="38">
        <f>C189-E199-F199</f>
        <v>64330.42</v>
      </c>
      <c r="D191" s="44">
        <f>D189-E210-F210</f>
        <v>7146.7400000000052</v>
      </c>
      <c r="E191" s="554" t="s">
        <v>110</v>
      </c>
      <c r="F191" s="555"/>
      <c r="G191" s="555"/>
      <c r="H191" s="555"/>
      <c r="I191" s="37"/>
    </row>
    <row r="192" spans="1:9" ht="21" thickBot="1" x14ac:dyDescent="0.35">
      <c r="A192" s="39"/>
      <c r="B192" s="13"/>
      <c r="C192" s="13"/>
      <c r="D192" s="13"/>
      <c r="E192" s="14"/>
      <c r="F192" s="14"/>
      <c r="G192" s="13"/>
      <c r="H192" s="13"/>
      <c r="I192" s="37"/>
    </row>
    <row r="193" spans="1:9" ht="51" x14ac:dyDescent="0.2">
      <c r="A193" s="19" t="s">
        <v>41</v>
      </c>
      <c r="B193" s="20" t="s">
        <v>34</v>
      </c>
      <c r="C193" s="20" t="s">
        <v>64</v>
      </c>
      <c r="D193" s="20" t="s">
        <v>63</v>
      </c>
      <c r="E193" s="20" t="s">
        <v>37</v>
      </c>
      <c r="F193" s="20" t="s">
        <v>48</v>
      </c>
      <c r="G193" s="20" t="s">
        <v>40</v>
      </c>
      <c r="H193" s="20" t="s">
        <v>38</v>
      </c>
      <c r="I193" s="21" t="s">
        <v>5</v>
      </c>
    </row>
    <row r="194" spans="1:9" x14ac:dyDescent="0.2">
      <c r="A194" s="22" t="s">
        <v>10</v>
      </c>
      <c r="B194" s="23" t="s">
        <v>10</v>
      </c>
      <c r="C194" s="57">
        <v>39500</v>
      </c>
      <c r="D194" s="50"/>
      <c r="E194" s="57">
        <v>39500</v>
      </c>
      <c r="F194" s="57"/>
      <c r="G194" s="49" t="s">
        <v>490</v>
      </c>
      <c r="H194" s="23" t="s">
        <v>491</v>
      </c>
      <c r="I194" s="24"/>
    </row>
    <row r="195" spans="1:9" x14ac:dyDescent="0.2">
      <c r="A195" s="25" t="s">
        <v>43</v>
      </c>
      <c r="B195" s="26"/>
      <c r="C195" s="61">
        <f>C194</f>
        <v>39500</v>
      </c>
      <c r="D195" s="55"/>
      <c r="E195" s="61">
        <f>E194</f>
        <v>39500</v>
      </c>
      <c r="F195" s="61">
        <f>F194</f>
        <v>0</v>
      </c>
      <c r="G195" s="26"/>
      <c r="H195" s="26"/>
      <c r="I195" s="27"/>
    </row>
    <row r="196" spans="1:9" x14ac:dyDescent="0.2">
      <c r="A196" s="33"/>
      <c r="B196" s="33"/>
      <c r="C196" s="59"/>
      <c r="D196" s="123"/>
      <c r="E196" s="59"/>
      <c r="F196" s="59"/>
      <c r="G196" s="33"/>
      <c r="H196" s="33"/>
      <c r="I196" s="33"/>
    </row>
    <row r="197" spans="1:9" x14ac:dyDescent="0.2">
      <c r="A197" s="25" t="s">
        <v>44</v>
      </c>
      <c r="B197" s="219" t="s">
        <v>568</v>
      </c>
      <c r="C197" s="58">
        <v>6975.58</v>
      </c>
      <c r="D197" s="55">
        <v>43374</v>
      </c>
      <c r="E197" s="58">
        <v>6975.58</v>
      </c>
      <c r="F197" s="58"/>
      <c r="G197" s="26" t="s">
        <v>630</v>
      </c>
      <c r="H197" s="26" t="s">
        <v>487</v>
      </c>
      <c r="I197" s="85"/>
    </row>
    <row r="198" spans="1:9" x14ac:dyDescent="0.2">
      <c r="A198" s="25"/>
      <c r="B198" s="219"/>
      <c r="C198" s="58">
        <v>1144</v>
      </c>
      <c r="D198" s="55">
        <v>43551</v>
      </c>
      <c r="E198" s="58">
        <f>C198</f>
        <v>1144</v>
      </c>
      <c r="F198" s="58"/>
      <c r="G198" s="26" t="s">
        <v>639</v>
      </c>
      <c r="H198" s="26"/>
      <c r="I198" s="85"/>
    </row>
    <row r="199" spans="1:9" x14ac:dyDescent="0.2">
      <c r="A199" s="25" t="s">
        <v>43</v>
      </c>
      <c r="B199" s="26"/>
      <c r="C199" s="60">
        <f>C197</f>
        <v>6975.58</v>
      </c>
      <c r="D199" s="55"/>
      <c r="E199" s="60">
        <f>E197+E198</f>
        <v>8119.58</v>
      </c>
      <c r="F199" s="60">
        <f>F197+F198</f>
        <v>0</v>
      </c>
      <c r="G199" s="26"/>
      <c r="H199" s="26"/>
      <c r="I199" s="27"/>
    </row>
    <row r="200" spans="1:9" x14ac:dyDescent="0.2">
      <c r="A200" s="33"/>
      <c r="B200" s="33"/>
      <c r="C200" s="59"/>
      <c r="D200" s="123"/>
      <c r="E200" s="59"/>
      <c r="F200" s="59"/>
      <c r="G200" s="33"/>
      <c r="H200" s="33"/>
      <c r="I200" s="33"/>
    </row>
    <row r="201" spans="1:9" x14ac:dyDescent="0.2">
      <c r="A201" s="150" t="s">
        <v>42</v>
      </c>
      <c r="B201" s="149"/>
      <c r="C201" s="151"/>
      <c r="D201" s="148"/>
      <c r="E201" s="151"/>
      <c r="F201" s="58">
        <f>C201-E201</f>
        <v>0</v>
      </c>
      <c r="G201" s="145"/>
      <c r="H201" s="149"/>
      <c r="I201" s="42"/>
    </row>
    <row r="202" spans="1:9" x14ac:dyDescent="0.2">
      <c r="A202" s="150"/>
      <c r="B202" s="145" t="s">
        <v>10</v>
      </c>
      <c r="C202" s="151">
        <v>2000</v>
      </c>
      <c r="D202" s="53" t="s">
        <v>523</v>
      </c>
      <c r="E202" s="151">
        <v>2000</v>
      </c>
      <c r="F202" s="58">
        <f>C202-E202</f>
        <v>0</v>
      </c>
      <c r="G202" s="145" t="s">
        <v>553</v>
      </c>
      <c r="H202" s="145" t="s">
        <v>518</v>
      </c>
      <c r="I202" s="42"/>
    </row>
    <row r="203" spans="1:9" x14ac:dyDescent="0.2">
      <c r="A203" s="150"/>
      <c r="B203" s="145" t="s">
        <v>10</v>
      </c>
      <c r="C203" s="151">
        <v>5000</v>
      </c>
      <c r="D203" s="53" t="s">
        <v>528</v>
      </c>
      <c r="E203" s="145">
        <v>3762</v>
      </c>
      <c r="F203" s="58">
        <f>C203-E203</f>
        <v>1238</v>
      </c>
      <c r="G203" s="145" t="s">
        <v>647</v>
      </c>
      <c r="H203" s="145" t="s">
        <v>519</v>
      </c>
      <c r="I203" s="42" t="s">
        <v>100</v>
      </c>
    </row>
    <row r="204" spans="1:9" x14ac:dyDescent="0.2">
      <c r="A204" s="150"/>
      <c r="B204" s="145"/>
      <c r="C204" s="151"/>
      <c r="D204" s="53"/>
      <c r="E204" s="145"/>
      <c r="F204" s="58">
        <v>-1238</v>
      </c>
      <c r="G204" s="145"/>
      <c r="H204" s="145"/>
      <c r="I204" s="42" t="s">
        <v>642</v>
      </c>
    </row>
    <row r="205" spans="1:9" x14ac:dyDescent="0.2">
      <c r="A205" s="150"/>
      <c r="B205" s="145" t="s">
        <v>10</v>
      </c>
      <c r="C205" s="151">
        <v>27500</v>
      </c>
      <c r="D205" s="53" t="s">
        <v>549</v>
      </c>
      <c r="E205" s="151">
        <v>23626</v>
      </c>
      <c r="F205" s="58">
        <f>C205-E205</f>
        <v>3874</v>
      </c>
      <c r="G205" s="145" t="s">
        <v>640</v>
      </c>
      <c r="H205" s="145" t="s">
        <v>548</v>
      </c>
      <c r="I205" s="79"/>
    </row>
    <row r="206" spans="1:9" x14ac:dyDescent="0.2">
      <c r="A206" s="150"/>
      <c r="B206" s="145"/>
      <c r="C206" s="151"/>
      <c r="D206" s="53"/>
      <c r="E206" s="145"/>
      <c r="F206" s="58">
        <v>-3874</v>
      </c>
      <c r="G206" s="145"/>
      <c r="H206" s="145"/>
      <c r="I206" s="79"/>
    </row>
    <row r="207" spans="1:9" x14ac:dyDescent="0.2">
      <c r="A207" s="150"/>
      <c r="B207" s="163" t="s">
        <v>532</v>
      </c>
      <c r="C207" s="151">
        <v>34500</v>
      </c>
      <c r="D207" s="167" t="s">
        <v>555</v>
      </c>
      <c r="E207" s="91">
        <v>32465.26</v>
      </c>
      <c r="F207" s="58">
        <f>C207-E207</f>
        <v>2034.7400000000016</v>
      </c>
      <c r="G207" s="86" t="s">
        <v>637</v>
      </c>
      <c r="H207" s="145" t="s">
        <v>548</v>
      </c>
      <c r="I207" s="79"/>
    </row>
    <row r="208" spans="1:9" x14ac:dyDescent="0.2">
      <c r="A208" s="150"/>
      <c r="B208" s="163"/>
      <c r="C208" s="151"/>
      <c r="D208" s="167"/>
      <c r="E208" s="91"/>
      <c r="F208" s="58">
        <v>-2034.74</v>
      </c>
      <c r="G208" s="91"/>
      <c r="H208" s="145"/>
      <c r="I208" s="79"/>
    </row>
    <row r="209" spans="1:9" x14ac:dyDescent="0.2">
      <c r="A209" s="131"/>
      <c r="B209" s="163"/>
      <c r="C209" s="151"/>
      <c r="D209" s="167"/>
      <c r="E209" s="91"/>
      <c r="F209" s="58"/>
      <c r="G209" s="91"/>
      <c r="H209" s="145"/>
      <c r="I209" s="132"/>
    </row>
    <row r="210" spans="1:9" ht="13.5" thickBot="1" x14ac:dyDescent="0.25">
      <c r="A210" s="28" t="s">
        <v>43</v>
      </c>
      <c r="B210" s="29"/>
      <c r="C210" s="56">
        <f>SUM(C201:C209)</f>
        <v>69000</v>
      </c>
      <c r="D210" s="124"/>
      <c r="E210" s="56">
        <f>SUM(E201:E209)</f>
        <v>61853.259999999995</v>
      </c>
      <c r="F210" s="56">
        <f>SUM(F201:F209)</f>
        <v>0</v>
      </c>
      <c r="G210" s="29"/>
      <c r="H210" s="29"/>
      <c r="I210" s="30"/>
    </row>
    <row r="211" spans="1:9" ht="13.5" thickBot="1" x14ac:dyDescent="0.25"/>
    <row r="212" spans="1:9" ht="21" thickBot="1" x14ac:dyDescent="0.25">
      <c r="A212" s="550" t="s">
        <v>330</v>
      </c>
      <c r="B212" s="551"/>
      <c r="C212" s="551"/>
      <c r="D212" s="551"/>
      <c r="E212" s="551"/>
      <c r="F212" s="551"/>
      <c r="G212" s="551"/>
      <c r="H212" s="551"/>
      <c r="I212" s="552"/>
    </row>
    <row r="213" spans="1:9" ht="20.25" x14ac:dyDescent="0.3">
      <c r="A213" s="39"/>
      <c r="B213" s="13" t="s">
        <v>322</v>
      </c>
      <c r="C213" s="13" t="s">
        <v>323</v>
      </c>
      <c r="D213" s="13" t="s">
        <v>324</v>
      </c>
      <c r="E213" s="14"/>
      <c r="F213" s="14"/>
      <c r="G213" s="13"/>
      <c r="H213" s="13"/>
      <c r="I213" s="37"/>
    </row>
    <row r="214" spans="1:9" ht="20.25" x14ac:dyDescent="0.3">
      <c r="A214" s="39" t="s">
        <v>328</v>
      </c>
      <c r="B214" s="18">
        <v>34500</v>
      </c>
      <c r="C214" s="18">
        <v>34500</v>
      </c>
      <c r="D214" s="18">
        <v>34500</v>
      </c>
      <c r="E214" s="14"/>
      <c r="F214" s="14"/>
      <c r="G214" s="13"/>
      <c r="H214" s="13"/>
      <c r="I214" s="37"/>
    </row>
    <row r="215" spans="1:9" ht="20.25" x14ac:dyDescent="0.3">
      <c r="A215" s="39" t="s">
        <v>36</v>
      </c>
      <c r="B215" s="18">
        <f>IF(B242&gt;34500,34500,B242)</f>
        <v>0</v>
      </c>
      <c r="C215" s="18">
        <f>IF(C242&gt;34500,34500,C242)</f>
        <v>34500</v>
      </c>
      <c r="D215" s="18">
        <f>IF(D242&gt;34500,34500,D242)</f>
        <v>7268.8899999999994</v>
      </c>
      <c r="E215" s="14"/>
      <c r="F215" s="14"/>
      <c r="G215" s="13"/>
      <c r="H215" s="13"/>
      <c r="I215" s="37"/>
    </row>
    <row r="216" spans="1:9" ht="20.25" x14ac:dyDescent="0.3">
      <c r="A216" s="39" t="s">
        <v>325</v>
      </c>
      <c r="B216" s="18">
        <f>SUM(B214:B215)</f>
        <v>34500</v>
      </c>
      <c r="C216" s="18">
        <f>SUM(C214:C215)</f>
        <v>69000</v>
      </c>
      <c r="D216" s="18">
        <f>SUM(D214:D215)</f>
        <v>41768.89</v>
      </c>
      <c r="E216" s="125" t="s">
        <v>107</v>
      </c>
      <c r="F216" s="14"/>
      <c r="G216" s="13"/>
      <c r="H216" s="13"/>
      <c r="I216" s="37"/>
    </row>
    <row r="217" spans="1:9" ht="20.25" x14ac:dyDescent="0.3">
      <c r="A217" s="39" t="s">
        <v>47</v>
      </c>
      <c r="B217" s="18">
        <f>B243</f>
        <v>0</v>
      </c>
      <c r="C217" s="18">
        <f>IF(C243&gt;34500,34500,C243)</f>
        <v>34500</v>
      </c>
      <c r="D217" s="18">
        <f>IF(D243&gt;34500,34500,D243)</f>
        <v>4850.3499999999995</v>
      </c>
      <c r="E217" s="14"/>
      <c r="F217" s="14"/>
      <c r="G217" s="13"/>
      <c r="H217" s="13"/>
      <c r="I217" s="37"/>
    </row>
    <row r="218" spans="1:9" ht="20.25" x14ac:dyDescent="0.3">
      <c r="A218" s="39" t="s">
        <v>45</v>
      </c>
      <c r="B218" s="18">
        <f>B217+B214</f>
        <v>34500</v>
      </c>
      <c r="C218" s="18">
        <f>C217+C214</f>
        <v>69000</v>
      </c>
      <c r="D218" s="18">
        <f>D217+D214</f>
        <v>39350.35</v>
      </c>
      <c r="E218" s="146" t="s">
        <v>108</v>
      </c>
      <c r="F218" s="14"/>
      <c r="G218" s="13"/>
      <c r="H218" s="13"/>
      <c r="I218" s="37"/>
    </row>
    <row r="219" spans="1:9" ht="20.25" x14ac:dyDescent="0.3">
      <c r="A219" s="39" t="s">
        <v>39</v>
      </c>
      <c r="B219" s="18">
        <f>B216-E224</f>
        <v>0</v>
      </c>
      <c r="C219" s="18">
        <f>C216-E227</f>
        <v>66243.25</v>
      </c>
      <c r="D219" s="18">
        <f>D216-E233</f>
        <v>41768.89</v>
      </c>
      <c r="E219" s="146" t="s">
        <v>109</v>
      </c>
      <c r="F219" s="14"/>
      <c r="G219" s="13"/>
      <c r="H219" s="13"/>
      <c r="I219" s="37"/>
    </row>
    <row r="220" spans="1:9" x14ac:dyDescent="0.2">
      <c r="A220" s="39" t="s">
        <v>35</v>
      </c>
      <c r="B220" s="38">
        <f>B218-E224-F224</f>
        <v>0</v>
      </c>
      <c r="C220" s="38">
        <f>C218-E227-F227</f>
        <v>66243.25</v>
      </c>
      <c r="D220" s="44">
        <f>D218-E233-F233</f>
        <v>39350.35</v>
      </c>
      <c r="E220" s="554" t="s">
        <v>110</v>
      </c>
      <c r="F220" s="555"/>
      <c r="G220" s="555"/>
      <c r="H220" s="555"/>
      <c r="I220" s="37"/>
    </row>
    <row r="221" spans="1:9" ht="21" thickBot="1" x14ac:dyDescent="0.35">
      <c r="A221" s="39"/>
      <c r="B221" s="13"/>
      <c r="C221" s="13"/>
      <c r="D221" s="13"/>
      <c r="E221" s="14"/>
      <c r="F221" s="14"/>
      <c r="G221" s="13"/>
      <c r="H221" s="13"/>
      <c r="I221" s="37"/>
    </row>
    <row r="222" spans="1:9" ht="51" x14ac:dyDescent="0.2">
      <c r="A222" s="19" t="s">
        <v>41</v>
      </c>
      <c r="B222" s="20" t="s">
        <v>34</v>
      </c>
      <c r="C222" s="20" t="s">
        <v>64</v>
      </c>
      <c r="D222" s="20" t="s">
        <v>63</v>
      </c>
      <c r="E222" s="20" t="s">
        <v>37</v>
      </c>
      <c r="F222" s="20" t="s">
        <v>48</v>
      </c>
      <c r="G222" s="20" t="s">
        <v>40</v>
      </c>
      <c r="H222" s="20" t="s">
        <v>38</v>
      </c>
      <c r="I222" s="21" t="s">
        <v>5</v>
      </c>
    </row>
    <row r="223" spans="1:9" x14ac:dyDescent="0.2">
      <c r="A223" s="22" t="s">
        <v>10</v>
      </c>
      <c r="B223" s="23" t="s">
        <v>10</v>
      </c>
      <c r="C223" s="57">
        <v>34500</v>
      </c>
      <c r="D223" s="50">
        <v>42738</v>
      </c>
      <c r="E223" s="57">
        <v>34500</v>
      </c>
      <c r="F223" s="57"/>
      <c r="G223" s="49" t="s">
        <v>354</v>
      </c>
      <c r="H223" s="23" t="s">
        <v>355</v>
      </c>
      <c r="I223" s="24"/>
    </row>
    <row r="224" spans="1:9" x14ac:dyDescent="0.2">
      <c r="A224" s="25" t="s">
        <v>43</v>
      </c>
      <c r="B224" s="26"/>
      <c r="C224" s="61">
        <f>C223</f>
        <v>34500</v>
      </c>
      <c r="D224" s="55"/>
      <c r="E224" s="61">
        <f>E223</f>
        <v>34500</v>
      </c>
      <c r="F224" s="61">
        <f>F223</f>
        <v>0</v>
      </c>
      <c r="G224" s="26"/>
      <c r="H224" s="26"/>
      <c r="I224" s="27"/>
    </row>
    <row r="225" spans="1:9" x14ac:dyDescent="0.2">
      <c r="A225" s="33"/>
      <c r="B225" s="33"/>
      <c r="C225" s="59"/>
      <c r="D225" s="123"/>
      <c r="E225" s="59"/>
      <c r="F225" s="59"/>
      <c r="G225" s="33"/>
      <c r="H225" s="33"/>
      <c r="I225" s="33"/>
    </row>
    <row r="226" spans="1:9" x14ac:dyDescent="0.2">
      <c r="A226" s="25" t="s">
        <v>44</v>
      </c>
      <c r="B226" s="26" t="s">
        <v>18</v>
      </c>
      <c r="C226" s="58">
        <v>2756.75</v>
      </c>
      <c r="D226" s="55"/>
      <c r="E226" s="58">
        <v>2756.75</v>
      </c>
      <c r="F226" s="58"/>
      <c r="G226" s="26" t="s">
        <v>498</v>
      </c>
      <c r="H226" s="26" t="s">
        <v>499</v>
      </c>
      <c r="I226" s="85"/>
    </row>
    <row r="227" spans="1:9" x14ac:dyDescent="0.2">
      <c r="A227" s="25" t="s">
        <v>43</v>
      </c>
      <c r="B227" s="26"/>
      <c r="C227" s="60">
        <f>C226</f>
        <v>2756.75</v>
      </c>
      <c r="D227" s="55"/>
      <c r="E227" s="60">
        <f>E226</f>
        <v>2756.75</v>
      </c>
      <c r="F227" s="60">
        <f>F226</f>
        <v>0</v>
      </c>
      <c r="G227" s="26"/>
      <c r="H227" s="26"/>
      <c r="I227" s="27"/>
    </row>
    <row r="228" spans="1:9" x14ac:dyDescent="0.2">
      <c r="A228" s="33"/>
      <c r="B228" s="33"/>
      <c r="C228" s="59"/>
      <c r="D228" s="123"/>
      <c r="E228" s="59"/>
      <c r="F228" s="59"/>
      <c r="G228" s="33"/>
      <c r="H228" s="33"/>
      <c r="I228" s="33"/>
    </row>
    <row r="229" spans="1:9" x14ac:dyDescent="0.2">
      <c r="A229" s="150" t="s">
        <v>42</v>
      </c>
      <c r="B229" s="149"/>
      <c r="C229" s="151"/>
      <c r="D229" s="148"/>
      <c r="E229" s="151"/>
      <c r="F229" s="58">
        <f>C229-E229</f>
        <v>0</v>
      </c>
      <c r="G229" s="145"/>
      <c r="H229" s="149"/>
      <c r="I229" s="42"/>
    </row>
    <row r="230" spans="1:9" x14ac:dyDescent="0.2">
      <c r="A230" s="150"/>
      <c r="B230" s="145"/>
      <c r="C230" s="151"/>
      <c r="D230" s="53"/>
      <c r="E230" s="151"/>
      <c r="F230" s="58">
        <f>C230-E230</f>
        <v>0</v>
      </c>
      <c r="G230" s="145"/>
      <c r="H230" s="145"/>
      <c r="I230" s="42"/>
    </row>
    <row r="231" spans="1:9" x14ac:dyDescent="0.2">
      <c r="A231" s="150"/>
      <c r="B231" s="145"/>
      <c r="C231" s="151"/>
      <c r="D231" s="53"/>
      <c r="E231" s="145"/>
      <c r="F231" s="58">
        <f>C231-E231</f>
        <v>0</v>
      </c>
      <c r="G231" s="145"/>
      <c r="H231" s="145"/>
      <c r="I231" s="79"/>
    </row>
    <row r="232" spans="1:9" x14ac:dyDescent="0.2">
      <c r="A232" s="131"/>
      <c r="B232" s="163"/>
      <c r="C232" s="151"/>
      <c r="D232" s="167"/>
      <c r="E232" s="91"/>
      <c r="F232" s="58">
        <f>C232-E232</f>
        <v>0</v>
      </c>
      <c r="G232" s="91"/>
      <c r="H232" s="145"/>
      <c r="I232" s="132"/>
    </row>
    <row r="233" spans="1:9" ht="13.5" thickBot="1" x14ac:dyDescent="0.25">
      <c r="A233" s="28" t="s">
        <v>43</v>
      </c>
      <c r="B233" s="29"/>
      <c r="C233" s="56">
        <f>SUM(C229:C232)</f>
        <v>0</v>
      </c>
      <c r="D233" s="124"/>
      <c r="E233" s="56">
        <f>SUM(E229:E232)</f>
        <v>0</v>
      </c>
      <c r="F233" s="56">
        <f>SUM(F229:F232)</f>
        <v>0</v>
      </c>
      <c r="G233" s="29"/>
      <c r="H233" s="29"/>
      <c r="I233" s="30"/>
    </row>
    <row r="234" spans="1:9" ht="13.5" thickBot="1" x14ac:dyDescent="0.25"/>
    <row r="235" spans="1:9" ht="21" thickBot="1" x14ac:dyDescent="0.25">
      <c r="A235" s="550" t="s">
        <v>216</v>
      </c>
      <c r="B235" s="551"/>
      <c r="C235" s="551"/>
      <c r="D235" s="551"/>
      <c r="E235" s="551"/>
      <c r="F235" s="551"/>
      <c r="G235" s="551"/>
      <c r="H235" s="551"/>
      <c r="I235" s="552"/>
    </row>
    <row r="236" spans="1:9" ht="20.25" x14ac:dyDescent="0.3">
      <c r="A236" s="39"/>
      <c r="B236" s="13" t="s">
        <v>208</v>
      </c>
      <c r="C236" s="13" t="s">
        <v>209</v>
      </c>
      <c r="D236" s="13" t="s">
        <v>210</v>
      </c>
      <c r="E236" s="14"/>
      <c r="F236" s="14"/>
      <c r="G236" s="13"/>
      <c r="H236" s="13"/>
      <c r="I236" s="37"/>
    </row>
    <row r="237" spans="1:9" ht="20.25" x14ac:dyDescent="0.3">
      <c r="A237" s="39" t="s">
        <v>214</v>
      </c>
      <c r="B237" s="18">
        <v>34500</v>
      </c>
      <c r="C237" s="18">
        <v>34500</v>
      </c>
      <c r="D237" s="18">
        <v>34500</v>
      </c>
      <c r="E237" s="14"/>
      <c r="F237" s="14"/>
      <c r="G237" s="13"/>
      <c r="H237" s="13"/>
      <c r="I237" s="37"/>
    </row>
    <row r="238" spans="1:9" ht="20.25" x14ac:dyDescent="0.3">
      <c r="A238" s="39" t="s">
        <v>36</v>
      </c>
      <c r="B238" s="18">
        <f>IF(B270&gt;34500,34500,B270)</f>
        <v>0</v>
      </c>
      <c r="C238" s="18">
        <f>IF(C270&gt;34500,34500,C270)</f>
        <v>34500</v>
      </c>
      <c r="D238" s="18">
        <f>IF(D270&gt;34500,34500,D270)</f>
        <v>631.5</v>
      </c>
      <c r="E238" s="14"/>
      <c r="F238" s="14"/>
      <c r="G238" s="13"/>
      <c r="H238" s="13"/>
      <c r="I238" s="37"/>
    </row>
    <row r="239" spans="1:9" ht="20.25" x14ac:dyDescent="0.3">
      <c r="A239" s="39" t="s">
        <v>211</v>
      </c>
      <c r="B239" s="18">
        <f>SUM(B237:B238)</f>
        <v>34500</v>
      </c>
      <c r="C239" s="18">
        <f>SUM(C237:C238)</f>
        <v>69000</v>
      </c>
      <c r="D239" s="18">
        <f>SUM(D237:D238)</f>
        <v>35131.5</v>
      </c>
      <c r="E239" s="125" t="s">
        <v>107</v>
      </c>
      <c r="F239" s="14"/>
      <c r="G239" s="13"/>
      <c r="H239" s="13"/>
      <c r="I239" s="37"/>
    </row>
    <row r="240" spans="1:9" ht="20.25" x14ac:dyDescent="0.3">
      <c r="A240" s="39" t="s">
        <v>47</v>
      </c>
      <c r="B240" s="18">
        <f>B271</f>
        <v>0</v>
      </c>
      <c r="C240" s="18">
        <f>IF(C271&gt;34500,34500,C271)</f>
        <v>34500</v>
      </c>
      <c r="D240" s="18">
        <f>IF(D271&gt;34500,34500,D271)</f>
        <v>631.5</v>
      </c>
      <c r="E240" s="14"/>
      <c r="F240" s="14"/>
      <c r="G240" s="13"/>
      <c r="H240" s="13"/>
      <c r="I240" s="37"/>
    </row>
    <row r="241" spans="1:9" ht="20.25" x14ac:dyDescent="0.3">
      <c r="A241" s="39" t="s">
        <v>45</v>
      </c>
      <c r="B241" s="18">
        <f>B240+B237</f>
        <v>34500</v>
      </c>
      <c r="C241" s="18">
        <f>C240+C237</f>
        <v>69000</v>
      </c>
      <c r="D241" s="18">
        <f>D240+D237</f>
        <v>35131.5</v>
      </c>
      <c r="E241" s="146" t="s">
        <v>108</v>
      </c>
      <c r="F241" s="14"/>
      <c r="G241" s="13"/>
      <c r="H241" s="13"/>
      <c r="I241" s="37"/>
    </row>
    <row r="242" spans="1:9" ht="20.25" x14ac:dyDescent="0.3">
      <c r="A242" s="39" t="s">
        <v>39</v>
      </c>
      <c r="B242" s="18">
        <f>B239-E247</f>
        <v>0</v>
      </c>
      <c r="C242" s="18">
        <f>C239-E250</f>
        <v>69000</v>
      </c>
      <c r="D242" s="18">
        <f>D239-E261</f>
        <v>7268.8899999999994</v>
      </c>
      <c r="E242" s="146" t="s">
        <v>109</v>
      </c>
      <c r="F242" s="14"/>
      <c r="G242" s="13"/>
      <c r="H242" s="13"/>
      <c r="I242" s="37"/>
    </row>
    <row r="243" spans="1:9" x14ac:dyDescent="0.2">
      <c r="A243" s="39" t="s">
        <v>35</v>
      </c>
      <c r="B243" s="38">
        <f>B241-E247-F247</f>
        <v>0</v>
      </c>
      <c r="C243" s="38">
        <f>C241-E250-F250</f>
        <v>54979.15</v>
      </c>
      <c r="D243" s="44">
        <f>D241-E261-F261</f>
        <v>4850.3499999999995</v>
      </c>
      <c r="E243" s="554" t="s">
        <v>110</v>
      </c>
      <c r="F243" s="555"/>
      <c r="G243" s="555"/>
      <c r="H243" s="555"/>
      <c r="I243" s="37"/>
    </row>
    <row r="244" spans="1:9" ht="21" thickBot="1" x14ac:dyDescent="0.35">
      <c r="A244" s="39"/>
      <c r="B244" s="13"/>
      <c r="C244" s="13"/>
      <c r="D244" s="13"/>
      <c r="E244" s="14"/>
      <c r="F244" s="14"/>
      <c r="G244" s="13"/>
      <c r="H244" s="13"/>
      <c r="I244" s="37"/>
    </row>
    <row r="245" spans="1:9" ht="51" x14ac:dyDescent="0.2">
      <c r="A245" s="19" t="s">
        <v>41</v>
      </c>
      <c r="B245" s="20" t="s">
        <v>34</v>
      </c>
      <c r="C245" s="20" t="s">
        <v>64</v>
      </c>
      <c r="D245" s="20" t="s">
        <v>63</v>
      </c>
      <c r="E245" s="20" t="s">
        <v>37</v>
      </c>
      <c r="F245" s="20" t="s">
        <v>48</v>
      </c>
      <c r="G245" s="20" t="s">
        <v>40</v>
      </c>
      <c r="H245" s="20" t="s">
        <v>38</v>
      </c>
      <c r="I245" s="21" t="s">
        <v>5</v>
      </c>
    </row>
    <row r="246" spans="1:9" x14ac:dyDescent="0.2">
      <c r="A246" s="22" t="s">
        <v>10</v>
      </c>
      <c r="B246" s="23" t="s">
        <v>10</v>
      </c>
      <c r="C246" s="57">
        <v>34500</v>
      </c>
      <c r="D246" s="50">
        <v>42373</v>
      </c>
      <c r="E246" s="57">
        <v>34500</v>
      </c>
      <c r="F246" s="57"/>
      <c r="G246" s="49" t="s">
        <v>227</v>
      </c>
      <c r="H246" s="23" t="s">
        <v>228</v>
      </c>
      <c r="I246" s="24"/>
    </row>
    <row r="247" spans="1:9" x14ac:dyDescent="0.2">
      <c r="A247" s="25" t="s">
        <v>43</v>
      </c>
      <c r="B247" s="26"/>
      <c r="C247" s="61">
        <f>C246</f>
        <v>34500</v>
      </c>
      <c r="D247" s="55"/>
      <c r="E247" s="61">
        <f>E246</f>
        <v>34500</v>
      </c>
      <c r="F247" s="61">
        <f>F246</f>
        <v>0</v>
      </c>
      <c r="G247" s="26"/>
      <c r="H247" s="26"/>
      <c r="I247" s="27"/>
    </row>
    <row r="248" spans="1:9" x14ac:dyDescent="0.2">
      <c r="A248" s="33"/>
      <c r="B248" s="33"/>
      <c r="C248" s="59"/>
      <c r="D248" s="123"/>
      <c r="E248" s="59"/>
      <c r="F248" s="59"/>
      <c r="G248" s="33"/>
      <c r="H248" s="33"/>
      <c r="I248" s="33"/>
    </row>
    <row r="249" spans="1:9" x14ac:dyDescent="0.2">
      <c r="A249" s="25" t="s">
        <v>44</v>
      </c>
      <c r="B249" s="26" t="s">
        <v>18</v>
      </c>
      <c r="C249" s="58">
        <v>14020.85</v>
      </c>
      <c r="D249" s="55">
        <v>42818</v>
      </c>
      <c r="E249" s="58"/>
      <c r="F249" s="58">
        <f>C249</f>
        <v>14020.85</v>
      </c>
      <c r="G249" s="26" t="s">
        <v>399</v>
      </c>
      <c r="H249" s="26" t="s">
        <v>396</v>
      </c>
      <c r="I249" s="85"/>
    </row>
    <row r="250" spans="1:9" x14ac:dyDescent="0.2">
      <c r="A250" s="25" t="s">
        <v>43</v>
      </c>
      <c r="B250" s="26"/>
      <c r="C250" s="60">
        <f>C249</f>
        <v>14020.85</v>
      </c>
      <c r="D250" s="55"/>
      <c r="E250" s="60">
        <f>E249</f>
        <v>0</v>
      </c>
      <c r="F250" s="60">
        <f>F249</f>
        <v>14020.85</v>
      </c>
      <c r="G250" s="26"/>
      <c r="H250" s="26"/>
      <c r="I250" s="27"/>
    </row>
    <row r="251" spans="1:9" x14ac:dyDescent="0.2">
      <c r="A251" s="33"/>
      <c r="B251" s="33"/>
      <c r="C251" s="59"/>
      <c r="D251" s="123"/>
      <c r="E251" s="59"/>
      <c r="F251" s="59"/>
      <c r="G251" s="33"/>
      <c r="H251" s="33"/>
      <c r="I251" s="33"/>
    </row>
    <row r="252" spans="1:9" x14ac:dyDescent="0.2">
      <c r="A252" s="150" t="s">
        <v>42</v>
      </c>
      <c r="B252" s="149"/>
      <c r="C252" s="151"/>
      <c r="D252" s="148"/>
      <c r="E252" s="151"/>
      <c r="F252" s="58"/>
      <c r="G252" s="145"/>
      <c r="H252" s="149"/>
      <c r="I252" s="42"/>
    </row>
    <row r="253" spans="1:9" x14ac:dyDescent="0.2">
      <c r="A253" s="150"/>
      <c r="B253" s="145" t="s">
        <v>18</v>
      </c>
      <c r="C253" s="151">
        <v>8000</v>
      </c>
      <c r="D253" s="53" t="s">
        <v>230</v>
      </c>
      <c r="E253" s="151">
        <v>5581.46</v>
      </c>
      <c r="F253" s="58">
        <f>C253-E253</f>
        <v>2418.54</v>
      </c>
      <c r="G253" s="145" t="s">
        <v>283</v>
      </c>
      <c r="H253" s="145" t="s">
        <v>226</v>
      </c>
      <c r="I253" s="42" t="s">
        <v>281</v>
      </c>
    </row>
    <row r="254" spans="1:9" x14ac:dyDescent="0.2">
      <c r="A254" s="150"/>
      <c r="B254" s="145"/>
      <c r="C254" s="151"/>
      <c r="D254" s="53"/>
      <c r="E254" s="151">
        <v>853.15</v>
      </c>
      <c r="F254" s="58">
        <f>C253-E253-E254</f>
        <v>1565.3899999999999</v>
      </c>
      <c r="G254" s="145" t="s">
        <v>352</v>
      </c>
      <c r="H254" s="145"/>
      <c r="I254" s="42" t="s">
        <v>98</v>
      </c>
    </row>
    <row r="255" spans="1:9" x14ac:dyDescent="0.2">
      <c r="A255" s="150"/>
      <c r="B255" s="145"/>
      <c r="C255" s="151"/>
      <c r="D255" s="53"/>
      <c r="E255" s="151"/>
      <c r="F255" s="58">
        <v>-1565.39</v>
      </c>
      <c r="G255" s="145"/>
      <c r="H255" s="145"/>
      <c r="I255" s="42" t="s">
        <v>99</v>
      </c>
    </row>
    <row r="256" spans="1:9" x14ac:dyDescent="0.2">
      <c r="A256" s="150"/>
      <c r="B256" s="145" t="s">
        <v>18</v>
      </c>
      <c r="C256" s="151">
        <v>9565</v>
      </c>
      <c r="D256" s="53" t="s">
        <v>275</v>
      </c>
      <c r="E256" s="151">
        <v>9565</v>
      </c>
      <c r="F256" s="58">
        <f>C256-E256</f>
        <v>0</v>
      </c>
      <c r="G256" s="145" t="s">
        <v>347</v>
      </c>
      <c r="H256" s="145" t="s">
        <v>274</v>
      </c>
      <c r="I256" s="79"/>
    </row>
    <row r="257" spans="1:9" x14ac:dyDescent="0.2">
      <c r="A257" s="150"/>
      <c r="B257" s="559" t="s">
        <v>10</v>
      </c>
      <c r="C257" s="562">
        <v>9000</v>
      </c>
      <c r="D257" s="565" t="s">
        <v>278</v>
      </c>
      <c r="E257" s="562">
        <v>6613</v>
      </c>
      <c r="F257" s="58">
        <f>C257-E257</f>
        <v>2387</v>
      </c>
      <c r="G257" s="559" t="s">
        <v>314</v>
      </c>
      <c r="H257" s="559" t="s">
        <v>274</v>
      </c>
      <c r="I257" s="42" t="s">
        <v>98</v>
      </c>
    </row>
    <row r="258" spans="1:9" x14ac:dyDescent="0.2">
      <c r="A258" s="150"/>
      <c r="B258" s="561"/>
      <c r="C258" s="564"/>
      <c r="D258" s="561"/>
      <c r="E258" s="564"/>
      <c r="F258" s="58">
        <v>-2387</v>
      </c>
      <c r="G258" s="561"/>
      <c r="H258" s="561"/>
      <c r="I258" s="42" t="s">
        <v>99</v>
      </c>
    </row>
    <row r="259" spans="1:9" x14ac:dyDescent="0.2">
      <c r="A259" s="131"/>
      <c r="B259" s="163" t="s">
        <v>10</v>
      </c>
      <c r="C259" s="151">
        <v>8000</v>
      </c>
      <c r="D259" s="167" t="s">
        <v>282</v>
      </c>
      <c r="E259" s="562">
        <v>5250</v>
      </c>
      <c r="F259" s="58">
        <f>C259-E259</f>
        <v>2750</v>
      </c>
      <c r="G259" s="86" t="s">
        <v>348</v>
      </c>
      <c r="H259" s="145" t="s">
        <v>226</v>
      </c>
      <c r="I259" s="132"/>
    </row>
    <row r="260" spans="1:9" x14ac:dyDescent="0.2">
      <c r="A260" s="183"/>
      <c r="B260" s="180"/>
      <c r="C260" s="151"/>
      <c r="D260" s="167"/>
      <c r="E260" s="564"/>
      <c r="F260" s="151">
        <v>-2750</v>
      </c>
      <c r="G260" s="184"/>
      <c r="H260" s="145"/>
      <c r="I260" s="185"/>
    </row>
    <row r="261" spans="1:9" ht="13.5" thickBot="1" x14ac:dyDescent="0.25">
      <c r="A261" s="28" t="s">
        <v>43</v>
      </c>
      <c r="B261" s="29"/>
      <c r="C261" s="56">
        <f>SUM(C252:C259)</f>
        <v>34565</v>
      </c>
      <c r="D261" s="124"/>
      <c r="E261" s="56">
        <f>SUM(E252:E260)</f>
        <v>27862.61</v>
      </c>
      <c r="F261" s="56">
        <f>SUM(F252:F260)</f>
        <v>2418.54</v>
      </c>
      <c r="G261" s="29"/>
      <c r="H261" s="29"/>
      <c r="I261" s="30"/>
    </row>
    <row r="262" spans="1:9" ht="13.5" thickBot="1" x14ac:dyDescent="0.25"/>
    <row r="263" spans="1:9" ht="21" thickBot="1" x14ac:dyDescent="0.25">
      <c r="A263" s="550" t="s">
        <v>126</v>
      </c>
      <c r="B263" s="551"/>
      <c r="C263" s="551"/>
      <c r="D263" s="551"/>
      <c r="E263" s="551"/>
      <c r="F263" s="551"/>
      <c r="G263" s="551"/>
      <c r="H263" s="551"/>
      <c r="I263" s="552"/>
    </row>
    <row r="264" spans="1:9" ht="20.25" x14ac:dyDescent="0.3">
      <c r="A264" s="39"/>
      <c r="B264" s="13" t="s">
        <v>118</v>
      </c>
      <c r="C264" s="13" t="s">
        <v>119</v>
      </c>
      <c r="D264" s="13" t="s">
        <v>120</v>
      </c>
      <c r="E264" s="14"/>
      <c r="F264" s="14"/>
      <c r="G264" s="13"/>
      <c r="H264" s="13"/>
      <c r="I264" s="37"/>
    </row>
    <row r="265" spans="1:9" ht="20.25" x14ac:dyDescent="0.3">
      <c r="A265" s="39" t="s">
        <v>124</v>
      </c>
      <c r="B265" s="18">
        <v>34500</v>
      </c>
      <c r="C265" s="18">
        <v>34500</v>
      </c>
      <c r="D265" s="18">
        <v>34500</v>
      </c>
      <c r="E265" s="14"/>
      <c r="F265" s="14"/>
      <c r="G265" s="13"/>
      <c r="H265" s="13"/>
      <c r="I265" s="37"/>
    </row>
    <row r="266" spans="1:9" ht="20.25" x14ac:dyDescent="0.3">
      <c r="A266" s="39" t="s">
        <v>36</v>
      </c>
      <c r="B266" s="18">
        <v>0</v>
      </c>
      <c r="C266" s="18">
        <v>34500</v>
      </c>
      <c r="D266" s="18">
        <v>34500</v>
      </c>
      <c r="E266" s="14"/>
      <c r="F266" s="14"/>
      <c r="G266" s="13"/>
      <c r="H266" s="13"/>
      <c r="I266" s="37"/>
    </row>
    <row r="267" spans="1:9" ht="20.25" x14ac:dyDescent="0.3">
      <c r="A267" s="39" t="s">
        <v>121</v>
      </c>
      <c r="B267" s="18">
        <f>SUM(B265:B266)</f>
        <v>34500</v>
      </c>
      <c r="C267" s="18">
        <f>SUM(C265:C266)</f>
        <v>69000</v>
      </c>
      <c r="D267" s="18">
        <f>SUM(D265:D266)</f>
        <v>69000</v>
      </c>
      <c r="E267" s="125" t="s">
        <v>107</v>
      </c>
      <c r="F267" s="14"/>
      <c r="G267" s="13"/>
      <c r="H267" s="13"/>
      <c r="I267" s="37"/>
    </row>
    <row r="268" spans="1:9" ht="20.25" x14ac:dyDescent="0.3">
      <c r="A268" s="39" t="s">
        <v>47</v>
      </c>
      <c r="B268" s="18">
        <v>0</v>
      </c>
      <c r="C268" s="18">
        <v>34500</v>
      </c>
      <c r="D268" s="18">
        <v>34500</v>
      </c>
      <c r="E268" s="14"/>
      <c r="F268" s="14"/>
      <c r="G268" s="13"/>
      <c r="H268" s="13"/>
      <c r="I268" s="37"/>
    </row>
    <row r="269" spans="1:9" ht="20.25" x14ac:dyDescent="0.3">
      <c r="A269" s="39" t="s">
        <v>45</v>
      </c>
      <c r="B269" s="18">
        <f>B268+B265</f>
        <v>34500</v>
      </c>
      <c r="C269" s="18">
        <f>C268+C265</f>
        <v>69000</v>
      </c>
      <c r="D269" s="18">
        <f>D268+D265</f>
        <v>69000</v>
      </c>
      <c r="E269" s="146" t="s">
        <v>108</v>
      </c>
      <c r="F269" s="14"/>
      <c r="G269" s="13"/>
      <c r="H269" s="13"/>
      <c r="I269" s="37"/>
    </row>
    <row r="270" spans="1:9" ht="20.25" x14ac:dyDescent="0.3">
      <c r="A270" s="39" t="s">
        <v>39</v>
      </c>
      <c r="B270" s="18">
        <f>B267-E275</f>
        <v>0</v>
      </c>
      <c r="C270" s="18">
        <f>C267-E278</f>
        <v>69000</v>
      </c>
      <c r="D270" s="18">
        <f>D267-E285</f>
        <v>631.5</v>
      </c>
      <c r="E270" s="146" t="s">
        <v>109</v>
      </c>
      <c r="F270" s="14"/>
      <c r="G270" s="13"/>
      <c r="H270" s="13"/>
      <c r="I270" s="37"/>
    </row>
    <row r="271" spans="1:9" x14ac:dyDescent="0.2">
      <c r="A271" s="39" t="s">
        <v>35</v>
      </c>
      <c r="B271" s="38">
        <f>B269-E275-F275</f>
        <v>0</v>
      </c>
      <c r="C271" s="38">
        <f>C269-E278-F278</f>
        <v>64058.57</v>
      </c>
      <c r="D271" s="44">
        <f>D269-E285-F285</f>
        <v>631.5</v>
      </c>
      <c r="E271" s="554" t="s">
        <v>110</v>
      </c>
      <c r="F271" s="555"/>
      <c r="G271" s="555"/>
      <c r="H271" s="555"/>
      <c r="I271" s="37"/>
    </row>
    <row r="272" spans="1:9" ht="21" thickBot="1" x14ac:dyDescent="0.35">
      <c r="A272" s="39"/>
      <c r="B272" s="13"/>
      <c r="C272" s="13"/>
      <c r="D272" s="13"/>
      <c r="E272" s="14"/>
      <c r="F272" s="14"/>
      <c r="G272" s="13"/>
      <c r="H272" s="13"/>
      <c r="I272" s="37"/>
    </row>
    <row r="273" spans="1:14" ht="51" x14ac:dyDescent="0.2">
      <c r="A273" s="19" t="s">
        <v>41</v>
      </c>
      <c r="B273" s="20" t="s">
        <v>34</v>
      </c>
      <c r="C273" s="20" t="s">
        <v>64</v>
      </c>
      <c r="D273" s="20" t="s">
        <v>63</v>
      </c>
      <c r="E273" s="20" t="s">
        <v>37</v>
      </c>
      <c r="F273" s="20" t="s">
        <v>48</v>
      </c>
      <c r="G273" s="20" t="s">
        <v>40</v>
      </c>
      <c r="H273" s="20" t="s">
        <v>38</v>
      </c>
      <c r="I273" s="21" t="s">
        <v>5</v>
      </c>
    </row>
    <row r="274" spans="1:14" x14ac:dyDescent="0.2">
      <c r="A274" s="22" t="s">
        <v>10</v>
      </c>
      <c r="B274" s="23" t="s">
        <v>10</v>
      </c>
      <c r="C274" s="57">
        <v>34500</v>
      </c>
      <c r="D274" s="50">
        <v>43102</v>
      </c>
      <c r="E274" s="57">
        <v>34500</v>
      </c>
      <c r="F274" s="57"/>
      <c r="G274" s="49" t="s">
        <v>175</v>
      </c>
      <c r="H274" s="23" t="s">
        <v>136</v>
      </c>
      <c r="I274" s="24"/>
    </row>
    <row r="275" spans="1:14" x14ac:dyDescent="0.2">
      <c r="A275" s="25" t="s">
        <v>43</v>
      </c>
      <c r="B275" s="26"/>
      <c r="C275" s="61">
        <f>C274</f>
        <v>34500</v>
      </c>
      <c r="D275" s="55"/>
      <c r="E275" s="61">
        <f>E274</f>
        <v>34500</v>
      </c>
      <c r="F275" s="61">
        <f>F274</f>
        <v>0</v>
      </c>
      <c r="G275" s="26"/>
      <c r="H275" s="26"/>
      <c r="I275" s="27"/>
    </row>
    <row r="276" spans="1:14" x14ac:dyDescent="0.2">
      <c r="A276" s="33"/>
      <c r="B276" s="33"/>
      <c r="C276" s="59"/>
      <c r="D276" s="123"/>
      <c r="E276" s="59"/>
      <c r="F276" s="59"/>
      <c r="G276" s="33"/>
      <c r="H276" s="33"/>
      <c r="I276" s="33"/>
    </row>
    <row r="277" spans="1:14" x14ac:dyDescent="0.2">
      <c r="A277" s="25" t="s">
        <v>44</v>
      </c>
      <c r="B277" s="26" t="s">
        <v>18</v>
      </c>
      <c r="C277" s="58">
        <v>4941.43</v>
      </c>
      <c r="D277" s="55">
        <v>42438</v>
      </c>
      <c r="E277" s="58"/>
      <c r="F277" s="58">
        <v>4941.43</v>
      </c>
      <c r="G277" s="26" t="s">
        <v>261</v>
      </c>
      <c r="H277" s="26" t="s">
        <v>256</v>
      </c>
      <c r="I277" s="85"/>
    </row>
    <row r="278" spans="1:14" x14ac:dyDescent="0.2">
      <c r="A278" s="25" t="s">
        <v>43</v>
      </c>
      <c r="B278" s="26"/>
      <c r="C278" s="60">
        <f>C277</f>
        <v>4941.43</v>
      </c>
      <c r="D278" s="55"/>
      <c r="E278" s="60">
        <f>E277</f>
        <v>0</v>
      </c>
      <c r="F278" s="60">
        <f>F277</f>
        <v>4941.43</v>
      </c>
      <c r="G278" s="26"/>
      <c r="H278" s="26"/>
      <c r="I278" s="27"/>
    </row>
    <row r="279" spans="1:14" x14ac:dyDescent="0.2">
      <c r="A279" s="33"/>
      <c r="B279" s="33"/>
      <c r="C279" s="59"/>
      <c r="D279" s="123"/>
      <c r="E279" s="59"/>
      <c r="F279" s="59"/>
      <c r="G279" s="33"/>
      <c r="H279" s="33"/>
      <c r="I279" s="33"/>
    </row>
    <row r="280" spans="1:14" x14ac:dyDescent="0.2">
      <c r="A280" s="150" t="s">
        <v>42</v>
      </c>
      <c r="B280" s="149" t="s">
        <v>10</v>
      </c>
      <c r="C280" s="151">
        <v>3000</v>
      </c>
      <c r="D280" s="148" t="s">
        <v>148</v>
      </c>
      <c r="E280" s="151">
        <v>3000</v>
      </c>
      <c r="F280" s="58">
        <f>C280-E280</f>
        <v>0</v>
      </c>
      <c r="G280" s="145" t="s">
        <v>183</v>
      </c>
      <c r="H280" s="149" t="s">
        <v>106</v>
      </c>
      <c r="I280" s="42"/>
    </row>
    <row r="281" spans="1:14" x14ac:dyDescent="0.2">
      <c r="A281" s="556"/>
      <c r="B281" s="559" t="s">
        <v>10</v>
      </c>
      <c r="C281" s="562">
        <v>31283.5</v>
      </c>
      <c r="D281" s="565" t="s">
        <v>172</v>
      </c>
      <c r="E281" s="562">
        <v>31085</v>
      </c>
      <c r="F281" s="58">
        <f>C281-E281</f>
        <v>198.5</v>
      </c>
      <c r="G281" s="559" t="s">
        <v>196</v>
      </c>
      <c r="H281" s="559" t="s">
        <v>171</v>
      </c>
      <c r="I281" s="79"/>
    </row>
    <row r="282" spans="1:14" x14ac:dyDescent="0.2">
      <c r="A282" s="558"/>
      <c r="B282" s="561"/>
      <c r="C282" s="564"/>
      <c r="D282" s="561"/>
      <c r="E282" s="564"/>
      <c r="F282" s="58">
        <v>-198.5</v>
      </c>
      <c r="G282" s="561"/>
      <c r="H282" s="561"/>
      <c r="I282" s="79"/>
    </row>
    <row r="283" spans="1:14" x14ac:dyDescent="0.2">
      <c r="A283" s="150"/>
      <c r="B283" s="145" t="s">
        <v>18</v>
      </c>
      <c r="C283" s="151">
        <v>34283.5</v>
      </c>
      <c r="D283" s="53" t="s">
        <v>170</v>
      </c>
      <c r="E283" s="151">
        <v>34283.5</v>
      </c>
      <c r="F283" s="58">
        <f>C283-E283</f>
        <v>0</v>
      </c>
      <c r="G283" s="145" t="s">
        <v>236</v>
      </c>
      <c r="H283" s="145" t="s">
        <v>171</v>
      </c>
      <c r="I283" s="79"/>
    </row>
    <row r="284" spans="1:14" x14ac:dyDescent="0.2">
      <c r="A284" s="131"/>
      <c r="B284" s="91"/>
      <c r="C284" s="91"/>
      <c r="D284" s="91"/>
      <c r="E284" s="91"/>
      <c r="F284" s="58">
        <f>C284-E284</f>
        <v>0</v>
      </c>
      <c r="G284" s="91"/>
      <c r="H284" s="91"/>
      <c r="I284" s="132"/>
    </row>
    <row r="285" spans="1:14" ht="13.5" thickBot="1" x14ac:dyDescent="0.25">
      <c r="A285" s="28" t="s">
        <v>43</v>
      </c>
      <c r="B285" s="29"/>
      <c r="C285" s="56">
        <f>SUM(C280:C284)</f>
        <v>68567</v>
      </c>
      <c r="D285" s="124"/>
      <c r="E285" s="56">
        <f>SUM(E280:E284)</f>
        <v>68368.5</v>
      </c>
      <c r="F285" s="56">
        <f>SUM(F280:F284)</f>
        <v>0</v>
      </c>
      <c r="G285" s="29"/>
      <c r="H285" s="29"/>
      <c r="I285" s="30"/>
    </row>
    <row r="287" spans="1:14" ht="18.75" customHeight="1" x14ac:dyDescent="0.3">
      <c r="A287" s="11"/>
      <c r="B287" s="11"/>
      <c r="C287" s="11"/>
      <c r="D287" s="11"/>
      <c r="E287" s="11"/>
      <c r="F287" s="11"/>
      <c r="G287" s="11"/>
      <c r="H287" s="11"/>
      <c r="I287" s="11"/>
      <c r="K287" s="9"/>
      <c r="L287" s="9"/>
      <c r="M287" s="9"/>
      <c r="N287" s="9"/>
    </row>
  </sheetData>
  <mergeCells count="33">
    <mergeCell ref="A1:I1"/>
    <mergeCell ref="E271:H271"/>
    <mergeCell ref="B257:B258"/>
    <mergeCell ref="C257:C258"/>
    <mergeCell ref="D257:D258"/>
    <mergeCell ref="A57:I57"/>
    <mergeCell ref="A85:I85"/>
    <mergeCell ref="E93:H93"/>
    <mergeCell ref="A108:I108"/>
    <mergeCell ref="E116:H116"/>
    <mergeCell ref="A235:I235"/>
    <mergeCell ref="E243:H243"/>
    <mergeCell ref="A158:I158"/>
    <mergeCell ref="E166:H166"/>
    <mergeCell ref="A29:I29"/>
    <mergeCell ref="A131:I131"/>
    <mergeCell ref="G281:G282"/>
    <mergeCell ref="H281:H282"/>
    <mergeCell ref="A281:A282"/>
    <mergeCell ref="B281:B282"/>
    <mergeCell ref="C281:C282"/>
    <mergeCell ref="D281:D282"/>
    <mergeCell ref="E281:E282"/>
    <mergeCell ref="E220:H220"/>
    <mergeCell ref="E139:H139"/>
    <mergeCell ref="G257:G258"/>
    <mergeCell ref="A263:I263"/>
    <mergeCell ref="E191:H191"/>
    <mergeCell ref="E259:E260"/>
    <mergeCell ref="A212:I212"/>
    <mergeCell ref="A183:I183"/>
    <mergeCell ref="E257:E258"/>
    <mergeCell ref="H257:H258"/>
  </mergeCells>
  <phoneticPr fontId="7" type="noConversion"/>
  <hyperlinks>
    <hyperlink ref="G43" r:id="rId1" xr:uid="{BE7CB515-5F9A-405A-93B2-33E26DC3F5D8}"/>
    <hyperlink ref="G77" r:id="rId2" xr:uid="{729D4F68-FC07-401D-B304-B89053D938AA}"/>
    <hyperlink ref="G12" r:id="rId3" xr:uid="{956324E6-378B-4C5A-BD11-B62914074366}"/>
    <hyperlink ref="D15" r:id="rId4" xr:uid="{C3DF3AB6-C1B5-4A9A-855E-F5BC5F93DDF7}"/>
  </hyperlinks>
  <pageMargins left="0.69" right="0.28999999999999998" top="0.48" bottom="0.44" header="0.5" footer="0.5"/>
  <pageSetup scale="68" orientation="landscape" r:id="rId5"/>
  <headerFooter alignWithMargins="0">
    <oddFooter>&amp;CCurrent as of &amp;D</oddFooter>
  </headerFooter>
  <rowBreaks count="3" manualBreakCount="3">
    <brk id="181" max="16383" man="1"/>
    <brk id="233" max="16383" man="1"/>
    <brk id="261" max="16383" man="1"/>
  </rowBreak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06"/>
  <sheetViews>
    <sheetView showGridLines="0" zoomScaleNormal="100" zoomScaleSheetLayoutView="75" workbookViewId="0">
      <selection activeCell="J14" sqref="J14"/>
    </sheetView>
  </sheetViews>
  <sheetFormatPr defaultRowHeight="12.75" x14ac:dyDescent="0.2"/>
  <cols>
    <col min="1" max="1" width="22.28515625" bestFit="1" customWidth="1"/>
    <col min="2" max="2" width="10.85546875" bestFit="1" customWidth="1"/>
    <col min="3" max="3" width="17" customWidth="1"/>
    <col min="4" max="4" width="12.85546875" customWidth="1"/>
    <col min="5" max="5" width="17.7109375" bestFit="1" customWidth="1"/>
    <col min="6" max="6" width="15.85546875" customWidth="1"/>
    <col min="7" max="7" width="14.28515625" customWidth="1"/>
    <col min="8" max="8" width="16.5703125" bestFit="1" customWidth="1"/>
    <col min="9" max="9" width="16.28515625" customWidth="1"/>
    <col min="10" max="10" width="23" customWidth="1"/>
  </cols>
  <sheetData>
    <row r="1" spans="1:9" ht="13.5" thickBot="1" x14ac:dyDescent="0.25"/>
    <row r="2" spans="1:9" ht="21" thickBot="1" x14ac:dyDescent="0.35">
      <c r="A2" s="597" t="s">
        <v>1236</v>
      </c>
      <c r="B2" s="602"/>
      <c r="C2" s="602"/>
      <c r="D2" s="602"/>
      <c r="E2" s="602"/>
      <c r="F2" s="602"/>
      <c r="G2" s="602"/>
      <c r="H2" s="602"/>
      <c r="I2" s="603"/>
    </row>
    <row r="3" spans="1:9" ht="20.25" x14ac:dyDescent="0.3">
      <c r="A3" s="39"/>
      <c r="B3" s="13" t="s">
        <v>1245</v>
      </c>
      <c r="C3" s="13" t="s">
        <v>1246</v>
      </c>
      <c r="D3" s="13" t="s">
        <v>1247</v>
      </c>
      <c r="E3" s="13" t="s">
        <v>1249</v>
      </c>
      <c r="F3" s="14"/>
      <c r="G3" s="13"/>
      <c r="H3" s="13"/>
      <c r="I3" s="37"/>
    </row>
    <row r="4" spans="1:9" ht="20.25" x14ac:dyDescent="0.3">
      <c r="A4" s="39" t="s">
        <v>991</v>
      </c>
      <c r="B4" s="18">
        <f>B35+(0.03*B35)</f>
        <v>54291.557500000003</v>
      </c>
      <c r="C4" s="18">
        <v>42713</v>
      </c>
      <c r="D4" s="18">
        <f>D35+(0.03*D35)</f>
        <v>85402.45</v>
      </c>
      <c r="E4" s="18">
        <v>5000</v>
      </c>
      <c r="F4" s="440"/>
      <c r="G4" s="314" t="s">
        <v>972</v>
      </c>
      <c r="H4" s="13"/>
      <c r="I4" s="37"/>
    </row>
    <row r="5" spans="1:9" ht="20.25" x14ac:dyDescent="0.3">
      <c r="A5" s="39" t="s">
        <v>36</v>
      </c>
      <c r="B5" s="18">
        <f>IF(B41&gt;B4,B4,B41)</f>
        <v>0</v>
      </c>
      <c r="C5" s="18">
        <f>IF(C41&gt;C4,C4,C41)</f>
        <v>40306.699999999997</v>
      </c>
      <c r="D5" s="18">
        <f>IF(D40&gt;D4,D4,D40)</f>
        <v>85402.45</v>
      </c>
      <c r="E5" s="18"/>
      <c r="F5" s="14"/>
      <c r="G5" s="13"/>
      <c r="H5" s="13"/>
      <c r="I5" s="37"/>
    </row>
    <row r="6" spans="1:9" x14ac:dyDescent="0.2">
      <c r="A6" s="39" t="s">
        <v>992</v>
      </c>
      <c r="B6" s="18">
        <f>SUM(B4:B5)</f>
        <v>54291.557500000003</v>
      </c>
      <c r="C6" s="18">
        <f>SUM(C4:C5)</f>
        <v>83019.7</v>
      </c>
      <c r="D6" s="18">
        <f>SUM(D4:D5)</f>
        <v>170804.9</v>
      </c>
      <c r="E6" s="18">
        <f>SUM(E4:E5)</f>
        <v>5000</v>
      </c>
      <c r="F6" s="125" t="s">
        <v>107</v>
      </c>
      <c r="G6" s="13"/>
      <c r="H6" s="13"/>
      <c r="I6" s="37"/>
    </row>
    <row r="7" spans="1:9" ht="20.25" x14ac:dyDescent="0.3">
      <c r="A7" s="39" t="s">
        <v>47</v>
      </c>
      <c r="B7" s="18">
        <f>B42</f>
        <v>0</v>
      </c>
      <c r="C7" s="18">
        <f>IF(C42&gt;C4,C4,C42)</f>
        <v>0</v>
      </c>
      <c r="D7" s="18">
        <f>IF(D41&gt;D4,D4,D41)</f>
        <v>1938.679999999993</v>
      </c>
      <c r="E7" s="18"/>
      <c r="F7" s="14"/>
      <c r="G7" s="13"/>
      <c r="H7" s="13"/>
      <c r="I7" s="37"/>
    </row>
    <row r="8" spans="1:9" x14ac:dyDescent="0.2">
      <c r="A8" s="39" t="s">
        <v>479</v>
      </c>
      <c r="B8" s="18">
        <f>B7+B4</f>
        <v>54291.557500000003</v>
      </c>
      <c r="C8" s="18">
        <f>C7+C4</f>
        <v>42713</v>
      </c>
      <c r="D8" s="18">
        <f>D7+D4</f>
        <v>87341.12999999999</v>
      </c>
      <c r="E8" s="18">
        <f>E4</f>
        <v>5000</v>
      </c>
      <c r="F8" s="146" t="s">
        <v>108</v>
      </c>
      <c r="G8" s="13"/>
      <c r="H8" s="13"/>
      <c r="I8" s="37"/>
    </row>
    <row r="9" spans="1:9" x14ac:dyDescent="0.2">
      <c r="A9" s="39" t="s">
        <v>39</v>
      </c>
      <c r="B9" s="18">
        <f>B6-E14</f>
        <v>-2.4999999950523488E-3</v>
      </c>
      <c r="C9" s="18">
        <f>C6-E18</f>
        <v>80097.2</v>
      </c>
      <c r="D9" s="18">
        <f>D6-F27</f>
        <v>130804.9</v>
      </c>
      <c r="E9" s="18">
        <f>E8</f>
        <v>5000</v>
      </c>
      <c r="F9" s="146" t="s">
        <v>109</v>
      </c>
      <c r="G9" s="13"/>
      <c r="H9" s="13"/>
      <c r="I9" s="37"/>
    </row>
    <row r="10" spans="1:9" x14ac:dyDescent="0.2">
      <c r="A10" s="39" t="s">
        <v>35</v>
      </c>
      <c r="B10" s="38">
        <f>B8-E14-F14</f>
        <v>-2.4999999950523488E-3</v>
      </c>
      <c r="C10" s="38">
        <f>C8-E18-F18</f>
        <v>39790.5</v>
      </c>
      <c r="D10" s="44">
        <f>D8-E27-F27</f>
        <v>47341.12999999999</v>
      </c>
      <c r="E10" s="18">
        <f>+E8-E31-F31</f>
        <v>5000</v>
      </c>
      <c r="F10" s="146" t="s">
        <v>110</v>
      </c>
      <c r="G10" s="140"/>
      <c r="H10" s="140"/>
      <c r="I10" s="140"/>
    </row>
    <row r="11" spans="1:9" ht="21" thickBot="1" x14ac:dyDescent="0.35">
      <c r="A11" s="39"/>
      <c r="B11" s="13"/>
      <c r="C11" s="13"/>
      <c r="D11" s="13"/>
      <c r="E11" s="14"/>
      <c r="F11" s="14"/>
      <c r="G11" s="13"/>
      <c r="H11" s="13"/>
      <c r="I11" s="37"/>
    </row>
    <row r="12" spans="1:9" ht="51" x14ac:dyDescent="0.2">
      <c r="A12" s="19" t="s">
        <v>41</v>
      </c>
      <c r="B12" s="20" t="s">
        <v>34</v>
      </c>
      <c r="C12" s="20" t="s">
        <v>64</v>
      </c>
      <c r="D12" s="20" t="s">
        <v>63</v>
      </c>
      <c r="E12" s="20" t="s">
        <v>37</v>
      </c>
      <c r="F12" s="20" t="s">
        <v>48</v>
      </c>
      <c r="G12" s="20" t="s">
        <v>40</v>
      </c>
      <c r="H12" s="20" t="s">
        <v>38</v>
      </c>
      <c r="I12" s="21" t="s">
        <v>5</v>
      </c>
    </row>
    <row r="13" spans="1:9" x14ac:dyDescent="0.2">
      <c r="A13" s="22" t="s">
        <v>10</v>
      </c>
      <c r="B13" s="23"/>
      <c r="C13" s="57">
        <v>54291.56</v>
      </c>
      <c r="D13" s="50"/>
      <c r="E13" s="57">
        <v>54291.56</v>
      </c>
      <c r="F13" s="57"/>
      <c r="G13" s="485" t="s">
        <v>1242</v>
      </c>
      <c r="H13" s="23"/>
      <c r="I13" s="24"/>
    </row>
    <row r="14" spans="1:9" x14ac:dyDescent="0.2">
      <c r="A14" s="25" t="s">
        <v>43</v>
      </c>
      <c r="B14" s="26"/>
      <c r="C14" s="61"/>
      <c r="D14" s="26"/>
      <c r="E14" s="61">
        <f>E13</f>
        <v>54291.56</v>
      </c>
      <c r="F14" s="61">
        <f>F13</f>
        <v>0</v>
      </c>
      <c r="G14" s="26"/>
      <c r="H14" s="26"/>
      <c r="I14" s="27"/>
    </row>
    <row r="15" spans="1:9" x14ac:dyDescent="0.2">
      <c r="A15" s="33"/>
      <c r="B15" s="33"/>
      <c r="C15" s="59"/>
      <c r="D15" s="33"/>
      <c r="E15" s="59"/>
      <c r="F15" s="59"/>
      <c r="G15" s="33"/>
      <c r="H15" s="33"/>
      <c r="I15" s="33"/>
    </row>
    <row r="16" spans="1:9" x14ac:dyDescent="0.2">
      <c r="A16" s="25" t="s">
        <v>44</v>
      </c>
      <c r="B16" s="219"/>
      <c r="C16" s="58"/>
      <c r="D16" s="488" t="s">
        <v>1257</v>
      </c>
      <c r="E16" s="58">
        <v>2922.5</v>
      </c>
      <c r="F16" s="58"/>
      <c r="G16" s="460"/>
      <c r="H16" s="26"/>
      <c r="I16" s="80"/>
    </row>
    <row r="17" spans="1:9" x14ac:dyDescent="0.2">
      <c r="A17" s="25"/>
      <c r="B17" s="219"/>
      <c r="C17" s="58"/>
      <c r="D17" s="167"/>
      <c r="E17" s="58"/>
      <c r="F17" s="58"/>
      <c r="G17" s="26"/>
      <c r="H17" s="26"/>
      <c r="I17" s="80"/>
    </row>
    <row r="18" spans="1:9" x14ac:dyDescent="0.2">
      <c r="A18" s="25" t="s">
        <v>43</v>
      </c>
      <c r="B18" s="26"/>
      <c r="C18" s="60">
        <f>C16+C17</f>
        <v>0</v>
      </c>
      <c r="D18" s="26"/>
      <c r="E18" s="60">
        <f>E16+E17</f>
        <v>2922.5</v>
      </c>
      <c r="F18" s="60">
        <f>F16</f>
        <v>0</v>
      </c>
      <c r="G18" s="26"/>
      <c r="H18" s="26"/>
      <c r="I18" s="27"/>
    </row>
    <row r="19" spans="1:9" x14ac:dyDescent="0.2">
      <c r="A19" s="33"/>
      <c r="B19" s="33"/>
      <c r="C19" s="59"/>
      <c r="D19" s="33"/>
      <c r="E19" s="59"/>
      <c r="F19" s="59"/>
      <c r="G19" s="33"/>
      <c r="H19" s="33"/>
      <c r="I19" s="33"/>
    </row>
    <row r="20" spans="1:9" ht="51" x14ac:dyDescent="0.2">
      <c r="A20" s="25" t="s">
        <v>42</v>
      </c>
      <c r="B20" s="41"/>
      <c r="C20" s="151">
        <v>40000</v>
      </c>
      <c r="D20" s="466" t="s">
        <v>1270</v>
      </c>
      <c r="E20" s="151"/>
      <c r="F20" s="83">
        <v>40000</v>
      </c>
      <c r="G20" s="53"/>
      <c r="H20" s="41"/>
      <c r="I20" s="43" t="s">
        <v>1269</v>
      </c>
    </row>
    <row r="21" spans="1:9" x14ac:dyDescent="0.2">
      <c r="A21" s="150"/>
      <c r="B21" s="289"/>
      <c r="C21" s="151"/>
      <c r="D21" s="53"/>
      <c r="E21" s="151"/>
      <c r="F21" s="83"/>
      <c r="G21" s="466"/>
      <c r="H21" s="135"/>
      <c r="I21" s="43"/>
    </row>
    <row r="22" spans="1:9" x14ac:dyDescent="0.2">
      <c r="A22" s="150"/>
      <c r="B22" s="289"/>
      <c r="C22" s="151"/>
      <c r="D22" s="466"/>
      <c r="E22" s="151"/>
      <c r="F22" s="151"/>
      <c r="G22" s="53"/>
      <c r="H22" s="135"/>
      <c r="I22" s="43"/>
    </row>
    <row r="23" spans="1:9" x14ac:dyDescent="0.2">
      <c r="A23" s="150"/>
      <c r="B23" s="279"/>
      <c r="C23" s="151"/>
      <c r="D23" s="466"/>
      <c r="E23" s="151"/>
      <c r="F23" s="151"/>
      <c r="G23" s="53"/>
      <c r="H23" s="135"/>
      <c r="I23" s="43"/>
    </row>
    <row r="24" spans="1:9" x14ac:dyDescent="0.2">
      <c r="A24" s="150"/>
      <c r="B24" s="279"/>
      <c r="C24" s="151"/>
      <c r="D24" s="53"/>
      <c r="E24" s="151"/>
      <c r="F24" s="83"/>
      <c r="G24" s="53"/>
      <c r="H24" s="135"/>
      <c r="I24" s="43"/>
    </row>
    <row r="25" spans="1:9" x14ac:dyDescent="0.2">
      <c r="A25" s="150"/>
      <c r="B25" s="279"/>
      <c r="C25" s="151"/>
      <c r="D25" s="53"/>
      <c r="E25" s="151"/>
      <c r="F25" s="83"/>
      <c r="G25" s="53"/>
      <c r="H25" s="135"/>
      <c r="I25" s="43"/>
    </row>
    <row r="26" spans="1:9" x14ac:dyDescent="0.2">
      <c r="A26" s="150"/>
      <c r="B26" s="279"/>
      <c r="C26" s="151"/>
      <c r="D26" s="53"/>
      <c r="E26" s="151"/>
      <c r="F26" s="83"/>
      <c r="G26" s="53"/>
      <c r="H26" s="135"/>
      <c r="I26" s="43"/>
    </row>
    <row r="27" spans="1:9" x14ac:dyDescent="0.2">
      <c r="A27" s="150" t="s">
        <v>43</v>
      </c>
      <c r="B27" s="164"/>
      <c r="C27" s="60">
        <f>SUM(C20:C26)</f>
        <v>40000</v>
      </c>
      <c r="D27" s="167"/>
      <c r="E27" s="315">
        <f>SUM(E21:E23)</f>
        <v>0</v>
      </c>
      <c r="F27" s="60">
        <f>SUM(F20:F26)</f>
        <v>40000</v>
      </c>
      <c r="G27" s="53"/>
      <c r="H27" s="53"/>
      <c r="I27" s="43"/>
    </row>
    <row r="28" spans="1:9" x14ac:dyDescent="0.2">
      <c r="A28" s="319"/>
      <c r="B28" s="328"/>
      <c r="C28" s="329"/>
      <c r="D28" s="330"/>
      <c r="E28" s="320"/>
      <c r="F28" s="331"/>
      <c r="G28" s="305"/>
      <c r="H28" s="305"/>
      <c r="I28" s="307"/>
    </row>
    <row r="29" spans="1:9" x14ac:dyDescent="0.2">
      <c r="A29" s="150" t="s">
        <v>968</v>
      </c>
      <c r="B29" s="164"/>
      <c r="C29" s="58"/>
      <c r="D29" s="167"/>
      <c r="E29" s="151"/>
      <c r="F29" s="83"/>
      <c r="G29" s="53"/>
      <c r="H29" s="53"/>
      <c r="I29" s="144"/>
    </row>
    <row r="30" spans="1:9" x14ac:dyDescent="0.2">
      <c r="A30" s="150"/>
      <c r="B30" s="164"/>
      <c r="C30" s="58"/>
      <c r="D30" s="167"/>
      <c r="E30" s="151"/>
      <c r="F30" s="83"/>
      <c r="G30" s="53"/>
      <c r="H30" s="53"/>
      <c r="I30" s="144"/>
    </row>
    <row r="31" spans="1:9" ht="13.5" thickBot="1" x14ac:dyDescent="0.25">
      <c r="A31" s="432"/>
      <c r="B31" s="435"/>
      <c r="C31" s="436"/>
      <c r="D31" s="437"/>
      <c r="E31" s="436"/>
      <c r="F31" s="436"/>
      <c r="G31" s="438"/>
      <c r="H31" s="438"/>
      <c r="I31" s="439"/>
    </row>
    <row r="32" spans="1:9" ht="13.5" thickBot="1" x14ac:dyDescent="0.25"/>
    <row r="33" spans="1:9" ht="21" thickBot="1" x14ac:dyDescent="0.35">
      <c r="A33" s="597" t="s">
        <v>1145</v>
      </c>
      <c r="B33" s="602"/>
      <c r="C33" s="602"/>
      <c r="D33" s="602"/>
      <c r="E33" s="602"/>
      <c r="F33" s="602"/>
      <c r="G33" s="602"/>
      <c r="H33" s="602"/>
      <c r="I33" s="603"/>
    </row>
    <row r="34" spans="1:9" ht="20.25" x14ac:dyDescent="0.3">
      <c r="A34" s="39"/>
      <c r="B34" s="13" t="s">
        <v>1138</v>
      </c>
      <c r="C34" s="13" t="s">
        <v>1139</v>
      </c>
      <c r="D34" s="13" t="s">
        <v>1140</v>
      </c>
      <c r="E34" s="13" t="s">
        <v>1146</v>
      </c>
      <c r="F34" s="14"/>
      <c r="G34" s="13"/>
      <c r="H34" s="13"/>
      <c r="I34" s="37"/>
    </row>
    <row r="35" spans="1:9" ht="20.25" x14ac:dyDescent="0.3">
      <c r="A35" s="39" t="s">
        <v>991</v>
      </c>
      <c r="B35" s="18">
        <f>B66+(0.03*B66)</f>
        <v>52710.25</v>
      </c>
      <c r="C35" s="18">
        <v>42713</v>
      </c>
      <c r="D35" s="18">
        <f>D66+(0.03*D66)</f>
        <v>82915</v>
      </c>
      <c r="E35" s="18">
        <v>5000</v>
      </c>
      <c r="F35" s="440"/>
      <c r="G35" s="314" t="s">
        <v>972</v>
      </c>
      <c r="H35" s="13"/>
      <c r="I35" s="37"/>
    </row>
    <row r="36" spans="1:9" ht="20.25" x14ac:dyDescent="0.3">
      <c r="A36" s="39" t="s">
        <v>36</v>
      </c>
      <c r="B36" s="18">
        <f>IF(B72&gt;B35,B35,B72)</f>
        <v>0</v>
      </c>
      <c r="C36" s="18">
        <f>IF(C72&gt;C35,C35,C72)</f>
        <v>42713</v>
      </c>
      <c r="D36" s="18">
        <f>IF(D71&gt;D35,D35,D71)</f>
        <v>58023.679999999993</v>
      </c>
      <c r="E36" s="18">
        <v>0</v>
      </c>
      <c r="F36" s="14"/>
      <c r="G36" s="13"/>
      <c r="H36" s="13"/>
      <c r="I36" s="37"/>
    </row>
    <row r="37" spans="1:9" x14ac:dyDescent="0.2">
      <c r="A37" s="39" t="s">
        <v>992</v>
      </c>
      <c r="B37" s="18">
        <f>SUM(B35:B36)</f>
        <v>52710.25</v>
      </c>
      <c r="C37" s="18">
        <f>SUM(C35:C36)</f>
        <v>85426</v>
      </c>
      <c r="D37" s="18">
        <f>SUM(D35:D36)</f>
        <v>140938.68</v>
      </c>
      <c r="E37" s="18">
        <f>SUM(E35:E36)</f>
        <v>5000</v>
      </c>
      <c r="F37" s="125" t="s">
        <v>107</v>
      </c>
      <c r="G37" s="13"/>
      <c r="H37" s="13"/>
      <c r="I37" s="37"/>
    </row>
    <row r="38" spans="1:9" ht="20.25" x14ac:dyDescent="0.3">
      <c r="A38" s="39" t="s">
        <v>47</v>
      </c>
      <c r="B38" s="18">
        <f>B73</f>
        <v>0</v>
      </c>
      <c r="C38" s="18">
        <f>IF(C73&gt;C35,C35,C73)</f>
        <v>0</v>
      </c>
      <c r="D38" s="18">
        <f>IF(D72&gt;D35,D35,D72)</f>
        <v>19023.679999999993</v>
      </c>
      <c r="E38" s="18">
        <v>0</v>
      </c>
      <c r="F38" s="14"/>
      <c r="G38" s="13"/>
      <c r="H38" s="13"/>
      <c r="I38" s="37"/>
    </row>
    <row r="39" spans="1:9" x14ac:dyDescent="0.2">
      <c r="A39" s="39" t="s">
        <v>479</v>
      </c>
      <c r="B39" s="18">
        <f>B38+B35</f>
        <v>52710.25</v>
      </c>
      <c r="C39" s="18">
        <f>C38+C35</f>
        <v>42713</v>
      </c>
      <c r="D39" s="18">
        <f>D38+D35</f>
        <v>101938.68</v>
      </c>
      <c r="E39" s="18">
        <f>E38+E35</f>
        <v>5000</v>
      </c>
      <c r="F39" s="146" t="s">
        <v>108</v>
      </c>
      <c r="G39" s="13"/>
      <c r="H39" s="13"/>
      <c r="I39" s="37"/>
    </row>
    <row r="40" spans="1:9" x14ac:dyDescent="0.2">
      <c r="A40" s="39" t="s">
        <v>39</v>
      </c>
      <c r="B40" s="18">
        <f>B37-E45</f>
        <v>0</v>
      </c>
      <c r="C40" s="18">
        <f>C37-E49</f>
        <v>83019.7</v>
      </c>
      <c r="D40" s="18">
        <f>D37-E58</f>
        <v>85938.68</v>
      </c>
      <c r="E40" s="18">
        <f>E37-E62</f>
        <v>5000</v>
      </c>
      <c r="F40" s="146" t="s">
        <v>109</v>
      </c>
      <c r="G40" s="13"/>
      <c r="H40" s="13"/>
      <c r="I40" s="37"/>
    </row>
    <row r="41" spans="1:9" x14ac:dyDescent="0.2">
      <c r="A41" s="39" t="s">
        <v>35</v>
      </c>
      <c r="B41" s="38">
        <f>B39-E45-F45</f>
        <v>0</v>
      </c>
      <c r="C41" s="38">
        <f>C39-E49-F49</f>
        <v>40306.699999999997</v>
      </c>
      <c r="D41" s="44">
        <f>D39-E58-F58</f>
        <v>1938.679999999993</v>
      </c>
      <c r="E41" s="18">
        <f>+E39-E62-F62</f>
        <v>5000</v>
      </c>
      <c r="F41" s="146" t="s">
        <v>110</v>
      </c>
      <c r="G41" s="140"/>
      <c r="H41" s="140"/>
      <c r="I41" s="140"/>
    </row>
    <row r="42" spans="1:9" ht="21" thickBot="1" x14ac:dyDescent="0.35">
      <c r="A42" s="39"/>
      <c r="B42" s="13"/>
      <c r="C42" s="13"/>
      <c r="D42" s="13"/>
      <c r="E42" s="14"/>
      <c r="F42" s="14"/>
      <c r="G42" s="13"/>
      <c r="H42" s="13"/>
      <c r="I42" s="37"/>
    </row>
    <row r="43" spans="1:9" ht="51" x14ac:dyDescent="0.2">
      <c r="A43" s="19" t="s">
        <v>41</v>
      </c>
      <c r="B43" s="20" t="s">
        <v>34</v>
      </c>
      <c r="C43" s="20" t="s">
        <v>64</v>
      </c>
      <c r="D43" s="20" t="s">
        <v>63</v>
      </c>
      <c r="E43" s="20" t="s">
        <v>37</v>
      </c>
      <c r="F43" s="20" t="s">
        <v>48</v>
      </c>
      <c r="G43" s="20" t="s">
        <v>40</v>
      </c>
      <c r="H43" s="20" t="s">
        <v>38</v>
      </c>
      <c r="I43" s="21" t="s">
        <v>5</v>
      </c>
    </row>
    <row r="44" spans="1:9" x14ac:dyDescent="0.2">
      <c r="A44" s="22" t="s">
        <v>10</v>
      </c>
      <c r="B44" s="23" t="s">
        <v>10</v>
      </c>
      <c r="C44" s="57">
        <v>52710.25</v>
      </c>
      <c r="D44" s="50">
        <v>45299</v>
      </c>
      <c r="E44" s="57">
        <v>52710.25</v>
      </c>
      <c r="F44" s="57"/>
      <c r="G44" s="23" t="s">
        <v>1155</v>
      </c>
      <c r="H44" s="23" t="s">
        <v>974</v>
      </c>
      <c r="I44" s="24"/>
    </row>
    <row r="45" spans="1:9" x14ac:dyDescent="0.2">
      <c r="A45" s="25" t="s">
        <v>43</v>
      </c>
      <c r="B45" s="26"/>
      <c r="C45" s="61">
        <v>51175</v>
      </c>
      <c r="D45" s="26"/>
      <c r="E45" s="61">
        <f>E44</f>
        <v>52710.25</v>
      </c>
      <c r="F45" s="61">
        <f>F44</f>
        <v>0</v>
      </c>
      <c r="G45" s="26"/>
      <c r="H45" s="26"/>
      <c r="I45" s="27"/>
    </row>
    <row r="46" spans="1:9" x14ac:dyDescent="0.2">
      <c r="A46" s="33"/>
      <c r="B46" s="33"/>
      <c r="C46" s="59"/>
      <c r="D46" s="33"/>
      <c r="E46" s="59"/>
      <c r="F46" s="59"/>
      <c r="G46" s="33"/>
      <c r="H46" s="33"/>
      <c r="I46" s="33"/>
    </row>
    <row r="47" spans="1:9" x14ac:dyDescent="0.2">
      <c r="A47" s="25" t="s">
        <v>44</v>
      </c>
      <c r="B47" s="219" t="s">
        <v>568</v>
      </c>
      <c r="C47" s="58">
        <v>2406.3000000000002</v>
      </c>
      <c r="D47" s="167"/>
      <c r="E47" s="58">
        <v>2406.3000000000002</v>
      </c>
      <c r="F47" s="58"/>
      <c r="G47" s="460" t="s">
        <v>1216</v>
      </c>
      <c r="H47" s="26" t="s">
        <v>974</v>
      </c>
      <c r="I47" s="80"/>
    </row>
    <row r="48" spans="1:9" x14ac:dyDescent="0.2">
      <c r="A48" s="25"/>
      <c r="B48" s="219"/>
      <c r="C48" s="58"/>
      <c r="D48" s="167"/>
      <c r="E48" s="58"/>
      <c r="F48" s="58"/>
      <c r="G48" s="26"/>
      <c r="H48" s="26"/>
      <c r="I48" s="80"/>
    </row>
    <row r="49" spans="1:9" x14ac:dyDescent="0.2">
      <c r="A49" s="25" t="s">
        <v>43</v>
      </c>
      <c r="B49" s="26"/>
      <c r="C49" s="60">
        <f>C47+C48</f>
        <v>2406.3000000000002</v>
      </c>
      <c r="D49" s="26"/>
      <c r="E49" s="60">
        <f>E47+E48</f>
        <v>2406.3000000000002</v>
      </c>
      <c r="F49" s="60">
        <f>F47</f>
        <v>0</v>
      </c>
      <c r="G49" s="26"/>
      <c r="H49" s="26"/>
      <c r="I49" s="27"/>
    </row>
    <row r="50" spans="1:9" x14ac:dyDescent="0.2">
      <c r="A50" s="33"/>
      <c r="B50" s="33"/>
      <c r="C50" s="59"/>
      <c r="D50" s="33"/>
      <c r="E50" s="59"/>
      <c r="F50" s="59"/>
      <c r="G50" s="33"/>
      <c r="H50" s="33"/>
      <c r="I50" s="33"/>
    </row>
    <row r="51" spans="1:9" x14ac:dyDescent="0.2">
      <c r="A51" s="25" t="s">
        <v>42</v>
      </c>
      <c r="B51" s="41"/>
      <c r="C51" s="151"/>
      <c r="D51" s="53"/>
      <c r="E51" s="151"/>
      <c r="F51" s="83"/>
      <c r="G51" s="53"/>
      <c r="H51" s="41"/>
      <c r="I51" s="43"/>
    </row>
    <row r="52" spans="1:9" x14ac:dyDescent="0.2">
      <c r="A52" s="150"/>
      <c r="B52" s="289" t="s">
        <v>10</v>
      </c>
      <c r="C52" s="151">
        <v>10000</v>
      </c>
      <c r="D52" s="53" t="s">
        <v>1165</v>
      </c>
      <c r="E52" s="151">
        <v>10000</v>
      </c>
      <c r="F52" s="83"/>
      <c r="G52" s="466" t="s">
        <v>1223</v>
      </c>
      <c r="H52" s="135" t="s">
        <v>1059</v>
      </c>
      <c r="I52" s="43" t="s">
        <v>1163</v>
      </c>
    </row>
    <row r="53" spans="1:9" x14ac:dyDescent="0.2">
      <c r="A53" s="150"/>
      <c r="B53" s="289" t="s">
        <v>10</v>
      </c>
      <c r="C53" s="151">
        <v>45000</v>
      </c>
      <c r="D53" s="466" t="s">
        <v>1232</v>
      </c>
      <c r="E53" s="151"/>
      <c r="F53" s="151">
        <v>45000</v>
      </c>
      <c r="G53" s="53"/>
      <c r="H53" s="135" t="s">
        <v>1231</v>
      </c>
      <c r="I53" s="43"/>
    </row>
    <row r="54" spans="1:9" x14ac:dyDescent="0.2">
      <c r="A54" s="150"/>
      <c r="B54" s="279" t="s">
        <v>532</v>
      </c>
      <c r="C54" s="151">
        <v>45000</v>
      </c>
      <c r="D54" s="466" t="s">
        <v>1229</v>
      </c>
      <c r="E54" s="151">
        <v>45000</v>
      </c>
      <c r="F54" s="151"/>
      <c r="G54" s="466" t="s">
        <v>1271</v>
      </c>
      <c r="H54" s="135" t="s">
        <v>1230</v>
      </c>
      <c r="I54" s="43"/>
    </row>
    <row r="55" spans="1:9" x14ac:dyDescent="0.2">
      <c r="A55" s="150"/>
      <c r="B55" s="279"/>
      <c r="C55" s="151"/>
      <c r="D55" s="53"/>
      <c r="E55" s="151"/>
      <c r="F55" s="83"/>
      <c r="G55" s="53"/>
      <c r="H55" s="135"/>
      <c r="I55" s="43"/>
    </row>
    <row r="56" spans="1:9" x14ac:dyDescent="0.2">
      <c r="A56" s="150"/>
      <c r="B56" s="279"/>
      <c r="C56" s="151"/>
      <c r="D56" s="53"/>
      <c r="E56" s="151"/>
      <c r="F56" s="83"/>
      <c r="G56" s="53"/>
      <c r="H56" s="135"/>
      <c r="I56" s="43"/>
    </row>
    <row r="57" spans="1:9" x14ac:dyDescent="0.2">
      <c r="A57" s="150"/>
      <c r="B57" s="279"/>
      <c r="C57" s="151"/>
      <c r="D57" s="53"/>
      <c r="E57" s="151"/>
      <c r="F57" s="83"/>
      <c r="G57" s="53"/>
      <c r="H57" s="135"/>
      <c r="I57" s="43"/>
    </row>
    <row r="58" spans="1:9" x14ac:dyDescent="0.2">
      <c r="A58" s="150" t="s">
        <v>43</v>
      </c>
      <c r="B58" s="164"/>
      <c r="C58" s="60">
        <f>SUM(C52:C57)</f>
        <v>100000</v>
      </c>
      <c r="D58" s="167"/>
      <c r="E58" s="315">
        <f>SUM(E52:E54)</f>
        <v>55000</v>
      </c>
      <c r="F58" s="60">
        <f>SUM(F52:F57)</f>
        <v>45000</v>
      </c>
      <c r="G58" s="53"/>
      <c r="H58" s="53"/>
      <c r="I58" s="43"/>
    </row>
    <row r="59" spans="1:9" x14ac:dyDescent="0.2">
      <c r="A59" s="319"/>
      <c r="B59" s="328"/>
      <c r="C59" s="329"/>
      <c r="D59" s="330"/>
      <c r="E59" s="320"/>
      <c r="F59" s="331"/>
      <c r="G59" s="305"/>
      <c r="H59" s="305"/>
      <c r="I59" s="307"/>
    </row>
    <row r="60" spans="1:9" x14ac:dyDescent="0.2">
      <c r="A60" s="150" t="s">
        <v>968</v>
      </c>
      <c r="B60" s="164"/>
      <c r="C60" s="58"/>
      <c r="D60" s="167"/>
      <c r="E60" s="151"/>
      <c r="F60" s="83"/>
      <c r="G60" s="53"/>
      <c r="H60" s="53"/>
      <c r="I60" s="144"/>
    </row>
    <row r="61" spans="1:9" x14ac:dyDescent="0.2">
      <c r="A61" s="150"/>
      <c r="B61" s="164"/>
      <c r="C61" s="58"/>
      <c r="D61" s="167"/>
      <c r="E61" s="151"/>
      <c r="F61" s="83"/>
      <c r="G61" s="53"/>
      <c r="H61" s="53"/>
      <c r="I61" s="144"/>
    </row>
    <row r="62" spans="1:9" ht="13.5" thickBot="1" x14ac:dyDescent="0.25">
      <c r="A62" s="432"/>
      <c r="B62" s="435"/>
      <c r="C62" s="436"/>
      <c r="D62" s="437"/>
      <c r="E62" s="436"/>
      <c r="F62" s="436"/>
      <c r="G62" s="438"/>
      <c r="H62" s="438"/>
      <c r="I62" s="439"/>
    </row>
    <row r="63" spans="1:9" ht="13.5" thickBot="1" x14ac:dyDescent="0.25"/>
    <row r="64" spans="1:9" ht="21" thickBot="1" x14ac:dyDescent="0.35">
      <c r="A64" s="597" t="s">
        <v>979</v>
      </c>
      <c r="B64" s="602"/>
      <c r="C64" s="602"/>
      <c r="D64" s="602"/>
      <c r="E64" s="602"/>
      <c r="F64" s="602"/>
      <c r="G64" s="602"/>
      <c r="H64" s="602"/>
      <c r="I64" s="603"/>
    </row>
    <row r="65" spans="1:9" ht="20.25" x14ac:dyDescent="0.3">
      <c r="A65" s="39"/>
      <c r="B65" s="13" t="s">
        <v>964</v>
      </c>
      <c r="C65" s="13" t="s">
        <v>965</v>
      </c>
      <c r="D65" s="13" t="s">
        <v>966</v>
      </c>
      <c r="E65" s="13" t="s">
        <v>978</v>
      </c>
      <c r="F65" s="14"/>
      <c r="G65" s="13"/>
      <c r="H65" s="13"/>
      <c r="I65" s="37"/>
    </row>
    <row r="66" spans="1:9" ht="20.25" x14ac:dyDescent="0.3">
      <c r="A66" s="39" t="s">
        <v>971</v>
      </c>
      <c r="B66" s="18">
        <v>51175</v>
      </c>
      <c r="C66" s="18">
        <v>42713</v>
      </c>
      <c r="D66" s="18">
        <v>80500</v>
      </c>
      <c r="E66" s="18">
        <v>5000</v>
      </c>
      <c r="F66" s="14"/>
      <c r="G66" s="13"/>
      <c r="H66" s="13"/>
      <c r="I66" s="37"/>
    </row>
    <row r="67" spans="1:9" ht="20.25" x14ac:dyDescent="0.3">
      <c r="A67" s="39" t="s">
        <v>36</v>
      </c>
      <c r="B67" s="18">
        <f>IF(B103&gt;B66,B66,B103)</f>
        <v>0</v>
      </c>
      <c r="C67" s="18">
        <f>IF(C103&gt;C66,C66,C103)</f>
        <v>42713</v>
      </c>
      <c r="D67" s="18">
        <f>IF(D103&gt;D66,D66,D103)</f>
        <v>80500</v>
      </c>
      <c r="E67" s="18">
        <v>0</v>
      </c>
      <c r="F67" s="14"/>
      <c r="G67" s="13"/>
      <c r="H67" s="13"/>
      <c r="I67" s="37"/>
    </row>
    <row r="68" spans="1:9" x14ac:dyDescent="0.2">
      <c r="A68" s="39" t="s">
        <v>969</v>
      </c>
      <c r="B68" s="18">
        <f>SUM(B66:B67)</f>
        <v>51175</v>
      </c>
      <c r="C68" s="18">
        <f>SUM(C66:C67)</f>
        <v>85426</v>
      </c>
      <c r="D68" s="18">
        <f>SUM(D66:D67)</f>
        <v>161000</v>
      </c>
      <c r="E68" s="18">
        <f>SUM(E66:E67)</f>
        <v>5000</v>
      </c>
      <c r="F68" s="125" t="s">
        <v>107</v>
      </c>
      <c r="G68" s="13"/>
      <c r="H68" s="13"/>
      <c r="I68" s="37"/>
    </row>
    <row r="69" spans="1:9" ht="20.25" x14ac:dyDescent="0.3">
      <c r="A69" s="39" t="s">
        <v>47</v>
      </c>
      <c r="B69" s="18">
        <f>B104</f>
        <v>0</v>
      </c>
      <c r="C69" s="18">
        <f>IF(C104&gt;C66,C66,C104)</f>
        <v>42713</v>
      </c>
      <c r="D69" s="18">
        <f>IF(D104&gt;D66,D66,D104)</f>
        <v>80500</v>
      </c>
      <c r="E69" s="18">
        <v>0</v>
      </c>
      <c r="F69" s="14"/>
      <c r="G69" s="13"/>
      <c r="H69" s="13"/>
      <c r="I69" s="37"/>
    </row>
    <row r="70" spans="1:9" x14ac:dyDescent="0.2">
      <c r="A70" s="39" t="s">
        <v>479</v>
      </c>
      <c r="B70" s="18">
        <f>B69+B66</f>
        <v>51175</v>
      </c>
      <c r="C70" s="18">
        <f>C69+C66</f>
        <v>85426</v>
      </c>
      <c r="D70" s="18">
        <f>D69+D66</f>
        <v>161000</v>
      </c>
      <c r="E70" s="18">
        <f>E69+E66</f>
        <v>5000</v>
      </c>
      <c r="F70" s="146" t="s">
        <v>108</v>
      </c>
      <c r="G70" s="13"/>
      <c r="H70" s="13"/>
      <c r="I70" s="37"/>
    </row>
    <row r="71" spans="1:9" x14ac:dyDescent="0.2">
      <c r="A71" s="39" t="s">
        <v>39</v>
      </c>
      <c r="B71" s="18">
        <f>B68-E76</f>
        <v>0</v>
      </c>
      <c r="C71" s="18">
        <f>C68-E80</f>
        <v>83389.16</v>
      </c>
      <c r="D71" s="18">
        <f>D68-E89</f>
        <v>58023.679999999993</v>
      </c>
      <c r="E71" s="18">
        <f>E68</f>
        <v>5000</v>
      </c>
      <c r="F71" s="146" t="s">
        <v>109</v>
      </c>
      <c r="G71" s="13"/>
      <c r="H71" s="13"/>
      <c r="I71" s="37"/>
    </row>
    <row r="72" spans="1:9" x14ac:dyDescent="0.2">
      <c r="A72" s="39" t="s">
        <v>35</v>
      </c>
      <c r="B72" s="38">
        <f>B70-E76-F76</f>
        <v>0</v>
      </c>
      <c r="C72" s="38">
        <f>C70-E80-F80</f>
        <v>76342.87000000001</v>
      </c>
      <c r="D72" s="44">
        <f>D70-E89-F89</f>
        <v>19023.679999999993</v>
      </c>
      <c r="E72" s="18">
        <f>+E70</f>
        <v>5000</v>
      </c>
      <c r="F72" s="146" t="s">
        <v>110</v>
      </c>
      <c r="G72" s="140"/>
      <c r="H72" s="140"/>
      <c r="I72" s="140"/>
    </row>
    <row r="73" spans="1:9" ht="21" thickBot="1" x14ac:dyDescent="0.35">
      <c r="A73" s="39"/>
      <c r="B73" s="13"/>
      <c r="C73" s="13"/>
      <c r="D73" s="13"/>
      <c r="E73" s="14"/>
      <c r="F73" s="14"/>
      <c r="G73" s="13"/>
      <c r="H73" s="13"/>
      <c r="I73" s="37"/>
    </row>
    <row r="74" spans="1:9" ht="51" x14ac:dyDescent="0.2">
      <c r="A74" s="19" t="s">
        <v>41</v>
      </c>
      <c r="B74" s="20" t="s">
        <v>34</v>
      </c>
      <c r="C74" s="20" t="s">
        <v>64</v>
      </c>
      <c r="D74" s="20" t="s">
        <v>63</v>
      </c>
      <c r="E74" s="20" t="s">
        <v>37</v>
      </c>
      <c r="F74" s="20" t="s">
        <v>48</v>
      </c>
      <c r="G74" s="20" t="s">
        <v>40</v>
      </c>
      <c r="H74" s="20" t="s">
        <v>38</v>
      </c>
      <c r="I74" s="21" t="s">
        <v>5</v>
      </c>
    </row>
    <row r="75" spans="1:9" x14ac:dyDescent="0.2">
      <c r="A75" s="22" t="s">
        <v>10</v>
      </c>
      <c r="B75" s="23" t="s">
        <v>10</v>
      </c>
      <c r="C75" s="57"/>
      <c r="D75" s="50"/>
      <c r="E75" s="57">
        <v>51175</v>
      </c>
      <c r="F75" s="57">
        <v>0</v>
      </c>
      <c r="G75" s="23" t="s">
        <v>1009</v>
      </c>
      <c r="H75" s="23" t="s">
        <v>974</v>
      </c>
      <c r="I75" s="24"/>
    </row>
    <row r="76" spans="1:9" x14ac:dyDescent="0.2">
      <c r="A76" s="25" t="s">
        <v>43</v>
      </c>
      <c r="B76" s="26"/>
      <c r="C76" s="61">
        <v>51175</v>
      </c>
      <c r="D76" s="26"/>
      <c r="E76" s="61">
        <f>E75</f>
        <v>51175</v>
      </c>
      <c r="F76" s="61">
        <f>F75</f>
        <v>0</v>
      </c>
      <c r="G76" s="26"/>
      <c r="H76" s="26"/>
      <c r="I76" s="27"/>
    </row>
    <row r="77" spans="1:9" x14ac:dyDescent="0.2">
      <c r="A77" s="33"/>
      <c r="B77" s="33"/>
      <c r="C77" s="59"/>
      <c r="D77" s="33"/>
      <c r="E77" s="59"/>
      <c r="F77" s="59"/>
      <c r="G77" s="33"/>
      <c r="H77" s="33"/>
      <c r="I77" s="33"/>
    </row>
    <row r="78" spans="1:9" x14ac:dyDescent="0.2">
      <c r="A78" s="25" t="s">
        <v>44</v>
      </c>
      <c r="B78" s="219" t="s">
        <v>568</v>
      </c>
      <c r="C78" s="58">
        <v>2036.84</v>
      </c>
      <c r="D78" s="167">
        <v>45015</v>
      </c>
      <c r="E78" s="58">
        <v>2036.84</v>
      </c>
      <c r="F78" s="58"/>
      <c r="G78" s="26" t="s">
        <v>1112</v>
      </c>
      <c r="H78" s="26" t="s">
        <v>974</v>
      </c>
      <c r="I78" s="80"/>
    </row>
    <row r="79" spans="1:9" x14ac:dyDescent="0.2">
      <c r="A79" s="25"/>
      <c r="B79" s="219"/>
      <c r="C79" s="58">
        <v>7046.29</v>
      </c>
      <c r="D79" s="167">
        <v>45378</v>
      </c>
      <c r="E79" s="58"/>
      <c r="F79" s="58">
        <v>7046.29</v>
      </c>
      <c r="G79" s="26"/>
      <c r="H79" s="26"/>
      <c r="I79" s="80"/>
    </row>
    <row r="80" spans="1:9" x14ac:dyDescent="0.2">
      <c r="A80" s="25" t="s">
        <v>43</v>
      </c>
      <c r="B80" s="26"/>
      <c r="C80" s="60">
        <f>C78+C79</f>
        <v>9083.1299999999992</v>
      </c>
      <c r="D80" s="26"/>
      <c r="E80" s="60">
        <f>E78+E79</f>
        <v>2036.84</v>
      </c>
      <c r="F80" s="60">
        <f>F79</f>
        <v>7046.29</v>
      </c>
      <c r="G80" s="26"/>
      <c r="H80" s="26"/>
      <c r="I80" s="27"/>
    </row>
    <row r="81" spans="1:9" x14ac:dyDescent="0.2">
      <c r="A81" s="33"/>
      <c r="B81" s="33"/>
      <c r="C81" s="59"/>
      <c r="D81" s="33"/>
      <c r="E81" s="59"/>
      <c r="F81" s="59"/>
      <c r="G81" s="33"/>
      <c r="H81" s="33"/>
      <c r="I81" s="33"/>
    </row>
    <row r="82" spans="1:9" x14ac:dyDescent="0.2">
      <c r="A82" s="25" t="s">
        <v>42</v>
      </c>
      <c r="B82" s="41"/>
      <c r="C82" s="151"/>
      <c r="D82" s="53"/>
      <c r="E82" s="151"/>
      <c r="F82" s="83"/>
      <c r="G82" s="53"/>
      <c r="H82" s="41"/>
      <c r="I82" s="43"/>
    </row>
    <row r="83" spans="1:9" x14ac:dyDescent="0.2">
      <c r="A83" s="150"/>
      <c r="B83" s="289" t="s">
        <v>876</v>
      </c>
      <c r="C83" s="151">
        <v>49900</v>
      </c>
      <c r="D83" s="53" t="s">
        <v>1065</v>
      </c>
      <c r="E83" s="151">
        <v>31056.32</v>
      </c>
      <c r="F83" s="83">
        <f>C83-E83</f>
        <v>18843.68</v>
      </c>
      <c r="G83" s="53" t="s">
        <v>1106</v>
      </c>
      <c r="H83" s="135" t="s">
        <v>1054</v>
      </c>
      <c r="I83" s="43" t="s">
        <v>767</v>
      </c>
    </row>
    <row r="84" spans="1:9" x14ac:dyDescent="0.2">
      <c r="A84" s="150"/>
      <c r="B84" s="289"/>
      <c r="C84" s="151"/>
      <c r="D84" s="53"/>
      <c r="E84" s="151"/>
      <c r="F84" s="83">
        <v>-18843.68</v>
      </c>
      <c r="G84" s="53"/>
      <c r="H84" s="135"/>
      <c r="I84" s="43" t="s">
        <v>1105</v>
      </c>
    </row>
    <row r="85" spans="1:9" x14ac:dyDescent="0.2">
      <c r="A85" s="150"/>
      <c r="B85" s="279" t="s">
        <v>10</v>
      </c>
      <c r="C85" s="151">
        <f>40000+32100</f>
        <v>72100</v>
      </c>
      <c r="D85" s="53" t="s">
        <v>1114</v>
      </c>
      <c r="E85" s="151">
        <v>71920</v>
      </c>
      <c r="F85" s="83">
        <f>(40000+32100)-E85</f>
        <v>180</v>
      </c>
      <c r="G85" s="53" t="s">
        <v>1117</v>
      </c>
      <c r="H85" s="135" t="s">
        <v>1054</v>
      </c>
      <c r="I85" s="43" t="s">
        <v>1099</v>
      </c>
    </row>
    <row r="86" spans="1:9" x14ac:dyDescent="0.2">
      <c r="A86" s="150"/>
      <c r="B86" s="279"/>
      <c r="C86" s="151"/>
      <c r="D86" s="53"/>
      <c r="E86" s="151"/>
      <c r="F86" s="83">
        <v>-180</v>
      </c>
      <c r="G86" s="53"/>
      <c r="H86" s="135"/>
      <c r="I86" s="43" t="s">
        <v>1105</v>
      </c>
    </row>
    <row r="87" spans="1:9" x14ac:dyDescent="0.2">
      <c r="A87" s="150"/>
      <c r="B87" s="279" t="s">
        <v>876</v>
      </c>
      <c r="C87" s="151">
        <v>20000</v>
      </c>
      <c r="D87" s="53" t="s">
        <v>1091</v>
      </c>
      <c r="E87" s="151"/>
      <c r="F87" s="83">
        <v>20000</v>
      </c>
      <c r="G87" s="53"/>
      <c r="H87" s="135" t="s">
        <v>1059</v>
      </c>
      <c r="I87" s="43"/>
    </row>
    <row r="88" spans="1:9" x14ac:dyDescent="0.2">
      <c r="A88" s="150"/>
      <c r="B88" s="279" t="s">
        <v>10</v>
      </c>
      <c r="C88" s="151">
        <v>19000</v>
      </c>
      <c r="D88" s="53" t="s">
        <v>1066</v>
      </c>
      <c r="E88" s="151"/>
      <c r="F88" s="465">
        <v>19000</v>
      </c>
      <c r="G88" s="53"/>
      <c r="H88" s="135" t="s">
        <v>1059</v>
      </c>
      <c r="I88" s="43" t="s">
        <v>1164</v>
      </c>
    </row>
    <row r="89" spans="1:9" x14ac:dyDescent="0.2">
      <c r="A89" s="150" t="s">
        <v>43</v>
      </c>
      <c r="B89" s="164"/>
      <c r="C89" s="60">
        <f>SUM(C83:C88)</f>
        <v>161000</v>
      </c>
      <c r="D89" s="167"/>
      <c r="E89" s="315">
        <f>SUM(E83:E85)</f>
        <v>102976.32000000001</v>
      </c>
      <c r="F89" s="60">
        <f>SUM(F83:F88)</f>
        <v>39000</v>
      </c>
      <c r="G89" s="53"/>
      <c r="H89" s="53"/>
      <c r="I89" s="43"/>
    </row>
    <row r="90" spans="1:9" x14ac:dyDescent="0.2">
      <c r="A90" s="319"/>
      <c r="B90" s="328"/>
      <c r="C90" s="329"/>
      <c r="D90" s="330"/>
      <c r="E90" s="320"/>
      <c r="F90" s="331"/>
      <c r="G90" s="305"/>
      <c r="H90" s="305"/>
      <c r="I90" s="307"/>
    </row>
    <row r="91" spans="1:9" x14ac:dyDescent="0.2">
      <c r="A91" s="150" t="s">
        <v>968</v>
      </c>
      <c r="B91" s="164"/>
      <c r="C91" s="58"/>
      <c r="D91" s="167"/>
      <c r="E91" s="151"/>
      <c r="F91" s="83"/>
      <c r="G91" s="53"/>
      <c r="H91" s="53"/>
      <c r="I91" s="144"/>
    </row>
    <row r="92" spans="1:9" x14ac:dyDescent="0.2">
      <c r="A92" s="150"/>
      <c r="B92" s="164"/>
      <c r="C92" s="58"/>
      <c r="D92" s="167"/>
      <c r="E92" s="151"/>
      <c r="F92" s="83"/>
      <c r="G92" s="53"/>
      <c r="H92" s="53"/>
      <c r="I92" s="144"/>
    </row>
    <row r="93" spans="1:9" ht="13.5" thickBot="1" x14ac:dyDescent="0.25">
      <c r="A93" s="432"/>
      <c r="B93" s="435"/>
      <c r="C93" s="436"/>
      <c r="D93" s="437"/>
      <c r="E93" s="436"/>
      <c r="F93" s="436"/>
      <c r="G93" s="438"/>
      <c r="H93" s="438"/>
      <c r="I93" s="439"/>
    </row>
    <row r="95" spans="1:9" ht="13.5" thickBot="1" x14ac:dyDescent="0.25">
      <c r="A95" s="45">
        <v>52710</v>
      </c>
    </row>
    <row r="96" spans="1:9" ht="21" thickBot="1" x14ac:dyDescent="0.35">
      <c r="A96" s="597" t="s">
        <v>870</v>
      </c>
      <c r="B96" s="602"/>
      <c r="C96" s="602"/>
      <c r="D96" s="602"/>
      <c r="E96" s="602"/>
      <c r="F96" s="602"/>
      <c r="G96" s="602"/>
      <c r="H96" s="602"/>
      <c r="I96" s="603"/>
    </row>
    <row r="97" spans="1:9" ht="20.25" x14ac:dyDescent="0.3">
      <c r="A97" s="39"/>
      <c r="B97" s="13" t="s">
        <v>859</v>
      </c>
      <c r="C97" s="13" t="s">
        <v>860</v>
      </c>
      <c r="D97" s="13" t="s">
        <v>861</v>
      </c>
      <c r="E97" s="14"/>
      <c r="F97" s="14"/>
      <c r="G97" s="13"/>
      <c r="H97" s="13"/>
      <c r="I97" s="37"/>
    </row>
    <row r="98" spans="1:9" ht="20.25" x14ac:dyDescent="0.3">
      <c r="A98" s="39" t="s">
        <v>864</v>
      </c>
      <c r="B98" s="18">
        <v>44500</v>
      </c>
      <c r="C98" s="18">
        <f>C124+(0.03*C124)</f>
        <v>42713.059339499996</v>
      </c>
      <c r="D98" s="18">
        <v>70000</v>
      </c>
      <c r="E98" s="155"/>
      <c r="F98" s="14"/>
      <c r="G98" s="13"/>
      <c r="H98" s="13"/>
      <c r="I98" s="37"/>
    </row>
    <row r="99" spans="1:9" ht="20.25" x14ac:dyDescent="0.3">
      <c r="A99" s="39" t="s">
        <v>36</v>
      </c>
      <c r="B99" s="18">
        <f>IF(B129&gt;B98,B98,B129)</f>
        <v>0</v>
      </c>
      <c r="C99" s="18">
        <f>IF(C129&gt;C98,C98,C129)</f>
        <v>42713.059339499996</v>
      </c>
      <c r="D99" s="18">
        <f>IF(D129&gt;D98,D98,D129)</f>
        <v>70000</v>
      </c>
      <c r="E99" s="14"/>
      <c r="F99" s="14"/>
      <c r="G99" s="13"/>
      <c r="H99" s="13"/>
      <c r="I99" s="37"/>
    </row>
    <row r="100" spans="1:9" ht="20.25" x14ac:dyDescent="0.3">
      <c r="A100" s="39" t="s">
        <v>862</v>
      </c>
      <c r="B100" s="18">
        <f>SUM(B98:B99)</f>
        <v>44500</v>
      </c>
      <c r="C100" s="18">
        <f>SUM(C98:C99)</f>
        <v>85426.118678999992</v>
      </c>
      <c r="D100" s="18">
        <f>SUM(D98:D99)</f>
        <v>140000</v>
      </c>
      <c r="E100" s="125" t="s">
        <v>107</v>
      </c>
      <c r="F100" s="14"/>
      <c r="G100" s="13"/>
      <c r="H100" s="13"/>
      <c r="I100" s="37"/>
    </row>
    <row r="101" spans="1:9" ht="20.25" x14ac:dyDescent="0.3">
      <c r="A101" s="39" t="s">
        <v>47</v>
      </c>
      <c r="B101" s="18">
        <f>B130</f>
        <v>0</v>
      </c>
      <c r="C101" s="18">
        <f>IF(C130&gt;C98,C98,C130)</f>
        <v>42713.059339499996</v>
      </c>
      <c r="D101" s="18">
        <f>IF(D130&gt;D98,D98,D130)</f>
        <v>66062.539999999994</v>
      </c>
      <c r="E101" s="14"/>
      <c r="F101" s="14"/>
      <c r="G101" s="13"/>
      <c r="H101" s="13"/>
      <c r="I101" s="37"/>
    </row>
    <row r="102" spans="1:9" ht="20.25" x14ac:dyDescent="0.3">
      <c r="A102" s="39" t="s">
        <v>479</v>
      </c>
      <c r="B102" s="18">
        <f>B101+B98</f>
        <v>44500</v>
      </c>
      <c r="C102" s="18">
        <f>C101+C98</f>
        <v>85426.118678999992</v>
      </c>
      <c r="D102" s="18">
        <f>D101+D98</f>
        <v>136062.53999999998</v>
      </c>
      <c r="E102" s="146" t="s">
        <v>108</v>
      </c>
      <c r="F102" s="14"/>
      <c r="G102" s="13"/>
      <c r="H102" s="13"/>
      <c r="I102" s="37"/>
    </row>
    <row r="103" spans="1:9" ht="20.25" x14ac:dyDescent="0.3">
      <c r="A103" s="39" t="s">
        <v>39</v>
      </c>
      <c r="B103" s="18">
        <f>B100-E108</f>
        <v>0</v>
      </c>
      <c r="C103" s="18">
        <f>C100-E112</f>
        <v>80945.92867899999</v>
      </c>
      <c r="D103" s="18">
        <f>D100-E120</f>
        <v>93371.68</v>
      </c>
      <c r="E103" s="146" t="s">
        <v>109</v>
      </c>
      <c r="F103" s="14"/>
      <c r="G103" s="13"/>
      <c r="H103" s="13"/>
      <c r="I103" s="37"/>
    </row>
    <row r="104" spans="1:9" x14ac:dyDescent="0.2">
      <c r="A104" s="39" t="s">
        <v>35</v>
      </c>
      <c r="B104" s="38">
        <f>B102-E108-F108</f>
        <v>0</v>
      </c>
      <c r="C104" s="38">
        <f>C102-E112-F112</f>
        <v>80945.92867899999</v>
      </c>
      <c r="D104" s="44">
        <f>D102-E120-F120</f>
        <v>89434.219999999972</v>
      </c>
      <c r="E104" s="554" t="s">
        <v>110</v>
      </c>
      <c r="F104" s="555"/>
      <c r="G104" s="555"/>
      <c r="H104" s="555"/>
      <c r="I104" s="141"/>
    </row>
    <row r="105" spans="1:9" ht="21" thickBot="1" x14ac:dyDescent="0.35">
      <c r="A105" s="39"/>
      <c r="B105" s="13"/>
      <c r="C105" s="13"/>
      <c r="D105" s="13"/>
      <c r="E105" s="14"/>
      <c r="F105" s="14"/>
      <c r="G105" s="13"/>
      <c r="H105" s="13"/>
      <c r="I105" s="37"/>
    </row>
    <row r="106" spans="1:9" ht="51" x14ac:dyDescent="0.2">
      <c r="A106" s="19" t="s">
        <v>41</v>
      </c>
      <c r="B106" s="20" t="s">
        <v>34</v>
      </c>
      <c r="C106" s="20" t="s">
        <v>64</v>
      </c>
      <c r="D106" s="20" t="s">
        <v>63</v>
      </c>
      <c r="E106" s="20" t="s">
        <v>37</v>
      </c>
      <c r="F106" s="20" t="s">
        <v>48</v>
      </c>
      <c r="G106" s="20" t="s">
        <v>40</v>
      </c>
      <c r="H106" s="20" t="s">
        <v>38</v>
      </c>
      <c r="I106" s="21" t="s">
        <v>5</v>
      </c>
    </row>
    <row r="107" spans="1:9" x14ac:dyDescent="0.2">
      <c r="A107" s="22" t="s">
        <v>10</v>
      </c>
      <c r="B107" s="23" t="s">
        <v>10</v>
      </c>
      <c r="C107" s="57">
        <v>44500</v>
      </c>
      <c r="D107" s="50">
        <v>44586</v>
      </c>
      <c r="E107" s="57">
        <v>44500</v>
      </c>
      <c r="F107" s="57"/>
      <c r="G107" s="23" t="s">
        <v>881</v>
      </c>
      <c r="H107" s="23" t="s">
        <v>487</v>
      </c>
      <c r="I107" s="24"/>
    </row>
    <row r="108" spans="1:9" x14ac:dyDescent="0.2">
      <c r="A108" s="25" t="s">
        <v>43</v>
      </c>
      <c r="B108" s="26"/>
      <c r="C108" s="61">
        <f>C107</f>
        <v>44500</v>
      </c>
      <c r="D108" s="26"/>
      <c r="E108" s="61">
        <f>E107</f>
        <v>44500</v>
      </c>
      <c r="F108" s="61">
        <f>F107</f>
        <v>0</v>
      </c>
      <c r="G108" s="26"/>
      <c r="H108" s="26"/>
      <c r="I108" s="27"/>
    </row>
    <row r="109" spans="1:9" x14ac:dyDescent="0.2">
      <c r="A109" s="33"/>
      <c r="B109" s="33"/>
      <c r="C109" s="59"/>
      <c r="D109" s="33"/>
      <c r="E109" s="59"/>
      <c r="F109" s="59"/>
      <c r="G109" s="33"/>
      <c r="H109" s="33"/>
      <c r="I109" s="33"/>
    </row>
    <row r="110" spans="1:9" x14ac:dyDescent="0.2">
      <c r="A110" s="25" t="s">
        <v>44</v>
      </c>
      <c r="B110" s="219" t="s">
        <v>568</v>
      </c>
      <c r="C110" s="58">
        <v>2522.65</v>
      </c>
      <c r="D110" s="167" t="s">
        <v>915</v>
      </c>
      <c r="E110" s="58">
        <v>2522.65</v>
      </c>
      <c r="F110" s="58"/>
      <c r="G110" s="26" t="s">
        <v>915</v>
      </c>
      <c r="H110" s="26" t="s">
        <v>487</v>
      </c>
      <c r="I110" s="80"/>
    </row>
    <row r="111" spans="1:9" x14ac:dyDescent="0.2">
      <c r="A111" s="25"/>
      <c r="B111" s="219"/>
      <c r="C111" s="58">
        <v>1957.54</v>
      </c>
      <c r="D111" s="167" t="s">
        <v>936</v>
      </c>
      <c r="E111" s="58">
        <v>1957.54</v>
      </c>
      <c r="F111" s="58"/>
      <c r="G111" s="26" t="s">
        <v>936</v>
      </c>
      <c r="H111" s="26" t="s">
        <v>487</v>
      </c>
      <c r="I111" s="80"/>
    </row>
    <row r="112" spans="1:9" x14ac:dyDescent="0.2">
      <c r="A112" s="25" t="s">
        <v>43</v>
      </c>
      <c r="B112" s="26"/>
      <c r="C112" s="60">
        <f>C110+C111</f>
        <v>4480.1900000000005</v>
      </c>
      <c r="D112" s="26"/>
      <c r="E112" s="60">
        <f>E110+E111</f>
        <v>4480.1900000000005</v>
      </c>
      <c r="F112" s="60">
        <f>F110</f>
        <v>0</v>
      </c>
      <c r="G112" s="26"/>
      <c r="H112" s="26"/>
      <c r="I112" s="27"/>
    </row>
    <row r="113" spans="1:9" x14ac:dyDescent="0.2">
      <c r="A113" s="33"/>
      <c r="B113" s="33"/>
      <c r="C113" s="59"/>
      <c r="D113" s="33"/>
      <c r="E113" s="59"/>
      <c r="F113" s="59"/>
      <c r="G113" s="33"/>
      <c r="H113" s="33"/>
      <c r="I113" s="33"/>
    </row>
    <row r="114" spans="1:9" x14ac:dyDescent="0.2">
      <c r="A114" s="25" t="s">
        <v>42</v>
      </c>
      <c r="B114" s="41"/>
      <c r="C114" s="151"/>
      <c r="D114" s="53"/>
      <c r="E114" s="151"/>
      <c r="F114" s="83"/>
      <c r="G114" s="135"/>
      <c r="H114" s="41"/>
      <c r="I114" s="43"/>
    </row>
    <row r="115" spans="1:9" x14ac:dyDescent="0.2">
      <c r="A115" s="150"/>
      <c r="B115" s="289" t="s">
        <v>876</v>
      </c>
      <c r="C115" s="151">
        <v>48520</v>
      </c>
      <c r="D115" s="53" t="s">
        <v>878</v>
      </c>
      <c r="E115" s="75">
        <v>32668.32</v>
      </c>
      <c r="F115" s="83">
        <f>48520-32668.32</f>
        <v>15851.68</v>
      </c>
      <c r="G115" s="172" t="s">
        <v>929</v>
      </c>
      <c r="H115" s="135" t="s">
        <v>877</v>
      </c>
      <c r="I115" s="43"/>
    </row>
    <row r="116" spans="1:9" x14ac:dyDescent="0.2">
      <c r="A116" s="150"/>
      <c r="B116" s="289"/>
      <c r="C116" s="151"/>
      <c r="D116" s="53"/>
      <c r="E116" s="75"/>
      <c r="F116" s="83">
        <v>-15851.68</v>
      </c>
      <c r="G116" s="172"/>
      <c r="H116" s="135"/>
      <c r="I116" s="43" t="s">
        <v>1007</v>
      </c>
    </row>
    <row r="117" spans="1:9" x14ac:dyDescent="0.2">
      <c r="A117" s="150"/>
      <c r="B117" s="357" t="s">
        <v>10</v>
      </c>
      <c r="C117" s="358">
        <v>50000</v>
      </c>
      <c r="D117" s="353" t="s">
        <v>879</v>
      </c>
      <c r="E117" s="358">
        <v>13960</v>
      </c>
      <c r="F117" s="359">
        <f>50000-13960</f>
        <v>36040</v>
      </c>
      <c r="G117" s="360" t="s">
        <v>1011</v>
      </c>
      <c r="H117" s="361" t="s">
        <v>877</v>
      </c>
      <c r="I117" s="362"/>
    </row>
    <row r="118" spans="1:9" x14ac:dyDescent="0.2">
      <c r="A118" s="150"/>
      <c r="B118" s="363"/>
      <c r="C118" s="364"/>
      <c r="D118" s="365"/>
      <c r="E118" s="358"/>
      <c r="F118" s="359">
        <v>-36040</v>
      </c>
      <c r="G118" s="353"/>
      <c r="H118" s="353"/>
      <c r="I118" s="362" t="s">
        <v>1007</v>
      </c>
    </row>
    <row r="119" spans="1:9" x14ac:dyDescent="0.2">
      <c r="A119" s="150"/>
      <c r="B119" s="164"/>
      <c r="C119" s="58"/>
      <c r="D119" s="167"/>
      <c r="E119" s="151"/>
      <c r="F119" s="58"/>
      <c r="G119" s="53"/>
      <c r="H119" s="53"/>
      <c r="I119" s="144"/>
    </row>
    <row r="120" spans="1:9" ht="13.5" thickBot="1" x14ac:dyDescent="0.25">
      <c r="A120" s="28" t="s">
        <v>43</v>
      </c>
      <c r="B120" s="29"/>
      <c r="C120" s="56">
        <f>SUM(C114:C119)</f>
        <v>98520</v>
      </c>
      <c r="D120" s="29"/>
      <c r="E120" s="56">
        <f>SUM(E114:E119)</f>
        <v>46628.32</v>
      </c>
      <c r="F120" s="56">
        <f>SUM(F114:F119)</f>
        <v>0</v>
      </c>
      <c r="G120" s="29"/>
      <c r="H120" s="29"/>
      <c r="I120" s="30"/>
    </row>
    <row r="121" spans="1:9" ht="13.5" thickBot="1" x14ac:dyDescent="0.25"/>
    <row r="122" spans="1:9" ht="21" thickBot="1" x14ac:dyDescent="0.35">
      <c r="A122" s="597" t="s">
        <v>788</v>
      </c>
      <c r="B122" s="602"/>
      <c r="C122" s="602"/>
      <c r="D122" s="602"/>
      <c r="E122" s="602"/>
      <c r="F122" s="602"/>
      <c r="G122" s="602"/>
      <c r="H122" s="602"/>
      <c r="I122" s="603"/>
    </row>
    <row r="123" spans="1:9" ht="20.25" x14ac:dyDescent="0.3">
      <c r="A123" s="39"/>
      <c r="B123" s="13" t="s">
        <v>780</v>
      </c>
      <c r="C123" s="13" t="s">
        <v>781</v>
      </c>
      <c r="D123" s="13" t="s">
        <v>782</v>
      </c>
      <c r="E123" s="14"/>
      <c r="F123" s="14"/>
      <c r="G123" s="13"/>
      <c r="H123" s="13"/>
      <c r="I123" s="37"/>
    </row>
    <row r="124" spans="1:9" ht="20.25" x14ac:dyDescent="0.3">
      <c r="A124" s="39" t="s">
        <v>784</v>
      </c>
      <c r="B124" s="18">
        <v>44500</v>
      </c>
      <c r="C124" s="18">
        <f>C149+(0.03*C149)</f>
        <v>41468.989649999996</v>
      </c>
      <c r="D124" s="18">
        <v>70000</v>
      </c>
      <c r="E124" s="155"/>
      <c r="F124" s="14"/>
      <c r="G124" s="13"/>
      <c r="H124" s="13"/>
      <c r="I124" s="37"/>
    </row>
    <row r="125" spans="1:9" ht="20.25" x14ac:dyDescent="0.3">
      <c r="A125" s="39" t="s">
        <v>36</v>
      </c>
      <c r="B125" s="18">
        <f>IF(B183&gt;B124,B124,B183)</f>
        <v>0</v>
      </c>
      <c r="C125" s="18">
        <f>IF(C154&gt;C124,C124,C154)</f>
        <v>23996.694999999985</v>
      </c>
      <c r="D125" s="18">
        <f>IF(D154&gt;D124,D124,D154)</f>
        <v>45844.539999999994</v>
      </c>
      <c r="E125" s="14"/>
      <c r="F125" s="14"/>
      <c r="G125" s="13"/>
      <c r="H125" s="13"/>
      <c r="I125" s="37"/>
    </row>
    <row r="126" spans="1:9" ht="20.25" x14ac:dyDescent="0.3">
      <c r="A126" s="39" t="s">
        <v>785</v>
      </c>
      <c r="B126" s="18">
        <f>SUM(B124:B125)</f>
        <v>44500</v>
      </c>
      <c r="C126" s="18">
        <f>SUM(C124:C125)</f>
        <v>65465.684649999981</v>
      </c>
      <c r="D126" s="18">
        <f>SUM(D124:D125)</f>
        <v>115844.54</v>
      </c>
      <c r="E126" s="125" t="s">
        <v>107</v>
      </c>
      <c r="F126" s="14"/>
      <c r="G126" s="13"/>
      <c r="H126" s="13"/>
      <c r="I126" s="37"/>
    </row>
    <row r="127" spans="1:9" ht="20.25" x14ac:dyDescent="0.3">
      <c r="A127" s="39" t="s">
        <v>47</v>
      </c>
      <c r="B127" s="18">
        <f>B183</f>
        <v>0</v>
      </c>
      <c r="C127" s="18">
        <f>IF(C155&gt;C149,C149,C155)</f>
        <v>23996.694999999985</v>
      </c>
      <c r="D127" s="18">
        <f>IF(D155&gt;D124,D124,D155)</f>
        <v>20604.539999999994</v>
      </c>
      <c r="E127" s="14"/>
      <c r="F127" s="14"/>
      <c r="G127" s="13"/>
      <c r="H127" s="13"/>
      <c r="I127" s="37"/>
    </row>
    <row r="128" spans="1:9" ht="20.25" x14ac:dyDescent="0.3">
      <c r="A128" s="39" t="s">
        <v>479</v>
      </c>
      <c r="B128" s="18">
        <f>B127+B124</f>
        <v>44500</v>
      </c>
      <c r="C128" s="18">
        <f>C127+C124</f>
        <v>65465.684649999981</v>
      </c>
      <c r="D128" s="18">
        <f>D127+D124</f>
        <v>90604.54</v>
      </c>
      <c r="E128" s="146" t="s">
        <v>108</v>
      </c>
      <c r="F128" s="14"/>
      <c r="G128" s="13"/>
      <c r="H128" s="13"/>
      <c r="I128" s="37"/>
    </row>
    <row r="129" spans="1:9" ht="20.25" x14ac:dyDescent="0.3">
      <c r="A129" s="39" t="s">
        <v>39</v>
      </c>
      <c r="B129" s="18">
        <f>B126-E134</f>
        <v>0</v>
      </c>
      <c r="C129" s="18">
        <f>C126-E138</f>
        <v>47602.64464999998</v>
      </c>
      <c r="D129" s="18">
        <f>D126-E145</f>
        <v>99222.54</v>
      </c>
      <c r="E129" s="146" t="s">
        <v>109</v>
      </c>
      <c r="F129" s="14"/>
      <c r="G129" s="13"/>
      <c r="H129" s="13"/>
      <c r="I129" s="37"/>
    </row>
    <row r="130" spans="1:9" x14ac:dyDescent="0.2">
      <c r="A130" s="39" t="s">
        <v>35</v>
      </c>
      <c r="B130" s="38">
        <f>B128-E134-F134</f>
        <v>0</v>
      </c>
      <c r="C130" s="38">
        <f>C128-E138-F138</f>
        <v>47602.64464999998</v>
      </c>
      <c r="D130" s="44">
        <f>D128-E145-F145</f>
        <v>66062.539999999994</v>
      </c>
      <c r="E130" s="554" t="s">
        <v>110</v>
      </c>
      <c r="F130" s="555"/>
      <c r="G130" s="555"/>
      <c r="H130" s="555"/>
      <c r="I130" s="141"/>
    </row>
    <row r="131" spans="1:9" ht="21" thickBot="1" x14ac:dyDescent="0.35">
      <c r="A131" s="39"/>
      <c r="B131" s="13"/>
      <c r="C131" s="13"/>
      <c r="D131" s="13"/>
      <c r="E131" s="14"/>
      <c r="F131" s="14"/>
      <c r="G131" s="13"/>
      <c r="H131" s="13"/>
      <c r="I131" s="37"/>
    </row>
    <row r="132" spans="1:9" ht="51" x14ac:dyDescent="0.2">
      <c r="A132" s="19" t="s">
        <v>41</v>
      </c>
      <c r="B132" s="20" t="s">
        <v>34</v>
      </c>
      <c r="C132" s="20" t="s">
        <v>64</v>
      </c>
      <c r="D132" s="20" t="s">
        <v>63</v>
      </c>
      <c r="E132" s="20" t="s">
        <v>37</v>
      </c>
      <c r="F132" s="20" t="s">
        <v>48</v>
      </c>
      <c r="G132" s="20" t="s">
        <v>40</v>
      </c>
      <c r="H132" s="20" t="s">
        <v>38</v>
      </c>
      <c r="I132" s="21" t="s">
        <v>5</v>
      </c>
    </row>
    <row r="133" spans="1:9" x14ac:dyDescent="0.2">
      <c r="A133" s="22" t="s">
        <v>10</v>
      </c>
      <c r="B133" s="23" t="s">
        <v>10</v>
      </c>
      <c r="C133" s="57">
        <v>39500</v>
      </c>
      <c r="D133" s="50">
        <v>44201</v>
      </c>
      <c r="E133" s="57">
        <v>44500</v>
      </c>
      <c r="F133" s="57">
        <v>0</v>
      </c>
      <c r="G133" s="23" t="s">
        <v>798</v>
      </c>
      <c r="H133" s="23" t="s">
        <v>487</v>
      </c>
      <c r="I133" s="24"/>
    </row>
    <row r="134" spans="1:9" x14ac:dyDescent="0.2">
      <c r="A134" s="25" t="s">
        <v>43</v>
      </c>
      <c r="B134" s="26"/>
      <c r="C134" s="61">
        <f>C133</f>
        <v>39500</v>
      </c>
      <c r="D134" s="26"/>
      <c r="E134" s="61">
        <f>E133</f>
        <v>44500</v>
      </c>
      <c r="F134" s="61">
        <f>F133</f>
        <v>0</v>
      </c>
      <c r="G134" s="26"/>
      <c r="H134" s="26"/>
      <c r="I134" s="27"/>
    </row>
    <row r="135" spans="1:9" x14ac:dyDescent="0.2">
      <c r="A135" s="33"/>
      <c r="B135" s="33"/>
      <c r="C135" s="59"/>
      <c r="D135" s="33"/>
      <c r="E135" s="59"/>
      <c r="F135" s="59"/>
      <c r="G135" s="33"/>
      <c r="H135" s="33"/>
      <c r="I135" s="33"/>
    </row>
    <row r="136" spans="1:9" x14ac:dyDescent="0.2">
      <c r="A136" s="25" t="s">
        <v>44</v>
      </c>
      <c r="B136" s="219" t="s">
        <v>568</v>
      </c>
      <c r="C136" s="58">
        <v>10064.99</v>
      </c>
      <c r="D136" s="167">
        <v>44285</v>
      </c>
      <c r="E136" s="58">
        <f>C136</f>
        <v>10064.99</v>
      </c>
      <c r="F136" s="58">
        <v>0</v>
      </c>
      <c r="G136" s="26" t="s">
        <v>801</v>
      </c>
      <c r="H136" s="26" t="s">
        <v>487</v>
      </c>
      <c r="I136" s="80"/>
    </row>
    <row r="137" spans="1:9" x14ac:dyDescent="0.2">
      <c r="A137" s="25"/>
      <c r="B137" s="219"/>
      <c r="C137" s="58">
        <v>7798.05</v>
      </c>
      <c r="D137" s="167"/>
      <c r="E137" s="58">
        <v>7798.05</v>
      </c>
      <c r="F137" s="58"/>
      <c r="G137" s="26" t="s">
        <v>842</v>
      </c>
      <c r="H137" s="26"/>
      <c r="I137" s="80"/>
    </row>
    <row r="138" spans="1:9" x14ac:dyDescent="0.2">
      <c r="A138" s="25" t="s">
        <v>43</v>
      </c>
      <c r="B138" s="26"/>
      <c r="C138" s="60">
        <f>C136+C137</f>
        <v>17863.04</v>
      </c>
      <c r="D138" s="26"/>
      <c r="E138" s="60">
        <f>E136+E137</f>
        <v>17863.04</v>
      </c>
      <c r="F138" s="60">
        <f>F136</f>
        <v>0</v>
      </c>
      <c r="G138" s="26"/>
      <c r="H138" s="26"/>
      <c r="I138" s="27"/>
    </row>
    <row r="139" spans="1:9" x14ac:dyDescent="0.2">
      <c r="A139" s="33"/>
      <c r="B139" s="33"/>
      <c r="C139" s="59"/>
      <c r="D139" s="33"/>
      <c r="E139" s="59"/>
      <c r="F139" s="59"/>
      <c r="G139" s="33"/>
      <c r="H139" s="33"/>
      <c r="I139" s="33"/>
    </row>
    <row r="140" spans="1:9" x14ac:dyDescent="0.2">
      <c r="A140" s="25" t="s">
        <v>42</v>
      </c>
      <c r="B140" s="41" t="s">
        <v>10</v>
      </c>
      <c r="C140" s="151">
        <v>15000</v>
      </c>
      <c r="D140" s="53" t="s">
        <v>807</v>
      </c>
      <c r="E140" s="151">
        <v>8050</v>
      </c>
      <c r="F140" s="83"/>
      <c r="G140" s="559" t="s">
        <v>850</v>
      </c>
      <c r="H140" s="41" t="s">
        <v>804</v>
      </c>
      <c r="I140" s="43"/>
    </row>
    <row r="141" spans="1:9" x14ac:dyDescent="0.2">
      <c r="A141" s="150"/>
      <c r="B141" s="279"/>
      <c r="C141" s="151"/>
      <c r="D141" s="53"/>
      <c r="E141" s="151"/>
      <c r="F141" s="83">
        <f>C140-E140-F140</f>
        <v>6950</v>
      </c>
      <c r="G141" s="560"/>
      <c r="H141" s="135"/>
      <c r="I141" s="43"/>
    </row>
    <row r="142" spans="1:9" x14ac:dyDescent="0.2">
      <c r="A142" s="150"/>
      <c r="B142" s="279"/>
      <c r="C142" s="151"/>
      <c r="D142" s="53"/>
      <c r="E142" s="151"/>
      <c r="F142" s="83">
        <v>-6950</v>
      </c>
      <c r="G142" s="561"/>
      <c r="H142" s="135"/>
      <c r="I142" s="43" t="s">
        <v>767</v>
      </c>
    </row>
    <row r="143" spans="1:9" x14ac:dyDescent="0.2">
      <c r="A143" s="150"/>
      <c r="B143" s="164" t="s">
        <v>532</v>
      </c>
      <c r="C143" s="58">
        <v>7920</v>
      </c>
      <c r="D143" s="167" t="s">
        <v>812</v>
      </c>
      <c r="E143" s="151"/>
      <c r="F143" s="83">
        <v>7920</v>
      </c>
      <c r="G143" s="53"/>
      <c r="H143" s="53"/>
      <c r="I143" s="43"/>
    </row>
    <row r="144" spans="1:9" x14ac:dyDescent="0.2">
      <c r="A144" s="150"/>
      <c r="B144" s="164" t="s">
        <v>10</v>
      </c>
      <c r="C144" s="58">
        <v>8572</v>
      </c>
      <c r="D144" s="167" t="s">
        <v>852</v>
      </c>
      <c r="E144" s="151">
        <v>8572</v>
      </c>
      <c r="F144" s="58"/>
      <c r="G144" s="53" t="s">
        <v>944</v>
      </c>
      <c r="H144" s="53" t="s">
        <v>847</v>
      </c>
      <c r="I144" s="144"/>
    </row>
    <row r="145" spans="1:9" ht="13.5" thickBot="1" x14ac:dyDescent="0.25">
      <c r="A145" s="28" t="s">
        <v>43</v>
      </c>
      <c r="B145" s="29"/>
      <c r="C145" s="56">
        <f>SUM(C140:C144)</f>
        <v>31492</v>
      </c>
      <c r="D145" s="29"/>
      <c r="E145" s="56">
        <f>SUM(E140:E144)</f>
        <v>16622</v>
      </c>
      <c r="F145" s="56">
        <f>SUM(F140:F144)</f>
        <v>7920</v>
      </c>
      <c r="G145" s="29"/>
      <c r="H145" s="29"/>
      <c r="I145" s="30"/>
    </row>
    <row r="146" spans="1:9" ht="13.5" thickBot="1" x14ac:dyDescent="0.25">
      <c r="A146" s="18"/>
      <c r="B146" s="18"/>
      <c r="C146" s="74"/>
      <c r="D146" s="18"/>
      <c r="E146" s="74"/>
      <c r="F146" s="74"/>
      <c r="G146" s="18"/>
      <c r="H146" s="18"/>
      <c r="I146" s="18"/>
    </row>
    <row r="147" spans="1:9" ht="21" thickBot="1" x14ac:dyDescent="0.35">
      <c r="A147" s="597" t="s">
        <v>869</v>
      </c>
      <c r="B147" s="598"/>
      <c r="C147" s="598"/>
      <c r="D147" s="598"/>
      <c r="E147" s="598"/>
      <c r="F147" s="598"/>
      <c r="G147" s="598"/>
      <c r="H147" s="598"/>
      <c r="I147" s="599"/>
    </row>
    <row r="148" spans="1:9" ht="20.25" x14ac:dyDescent="0.3">
      <c r="A148" s="39"/>
      <c r="B148" s="13" t="s">
        <v>697</v>
      </c>
      <c r="C148" s="13" t="s">
        <v>698</v>
      </c>
      <c r="D148" s="13" t="s">
        <v>699</v>
      </c>
      <c r="E148" s="14"/>
      <c r="F148" s="14"/>
      <c r="G148" s="13"/>
      <c r="H148" s="13"/>
      <c r="I148" s="37"/>
    </row>
    <row r="149" spans="1:9" ht="20.25" x14ac:dyDescent="0.3">
      <c r="A149" s="39" t="s">
        <v>701</v>
      </c>
      <c r="B149" s="18">
        <v>44500</v>
      </c>
      <c r="C149" s="18">
        <f>1.03*C178</f>
        <v>40261.154999999999</v>
      </c>
      <c r="D149" s="18">
        <v>70000</v>
      </c>
      <c r="E149" s="155"/>
      <c r="F149" s="14"/>
      <c r="G149" s="13"/>
      <c r="H149" s="13"/>
      <c r="I149" s="37"/>
    </row>
    <row r="150" spans="1:9" ht="20.25" x14ac:dyDescent="0.3">
      <c r="A150" s="39" t="s">
        <v>36</v>
      </c>
      <c r="B150" s="18">
        <f>IF(B183&gt;44500,44500,B183)</f>
        <v>0</v>
      </c>
      <c r="C150" s="18">
        <f>IF(C183&gt;40261.16,40261.16,C183)</f>
        <v>30387.019999999997</v>
      </c>
      <c r="D150" s="18">
        <f>IF(D183&gt;70000,70000,D183)</f>
        <v>25963.259999999995</v>
      </c>
      <c r="E150" s="14"/>
      <c r="F150" s="14"/>
      <c r="G150" s="13"/>
      <c r="H150" s="13"/>
      <c r="I150" s="37"/>
    </row>
    <row r="151" spans="1:9" ht="20.25" x14ac:dyDescent="0.3">
      <c r="A151" s="39" t="s">
        <v>702</v>
      </c>
      <c r="B151" s="18">
        <f>SUM(B149:B150)</f>
        <v>44500</v>
      </c>
      <c r="C151" s="18">
        <f>SUM(C149:C150)</f>
        <v>70648.174999999988</v>
      </c>
      <c r="D151" s="18">
        <f>SUM(D149:D150)</f>
        <v>95963.26</v>
      </c>
      <c r="E151" s="125" t="s">
        <v>107</v>
      </c>
      <c r="F151" s="14"/>
      <c r="G151" s="13"/>
      <c r="H151" s="13"/>
      <c r="I151" s="37"/>
    </row>
    <row r="152" spans="1:9" ht="20.25" x14ac:dyDescent="0.3">
      <c r="A152" s="39" t="s">
        <v>47</v>
      </c>
      <c r="B152" s="18">
        <f>IF(B181&gt;44500,44500,B181)</f>
        <v>0</v>
      </c>
      <c r="C152" s="18">
        <f>IF(C184&gt;40261.16,40261.16,C184)</f>
        <v>30387.019999999997</v>
      </c>
      <c r="D152" s="18">
        <f>IF(D184&gt;70000,70000,D184)</f>
        <v>13343.259999999997</v>
      </c>
      <c r="E152" s="14"/>
      <c r="F152" s="14"/>
      <c r="G152" s="13"/>
      <c r="H152" s="13"/>
      <c r="I152" s="37"/>
    </row>
    <row r="153" spans="1:9" ht="20.25" x14ac:dyDescent="0.3">
      <c r="A153" s="39" t="s">
        <v>45</v>
      </c>
      <c r="B153" s="18">
        <f>B152+B149</f>
        <v>44500</v>
      </c>
      <c r="C153" s="18">
        <f>C152+C149</f>
        <v>70648.174999999988</v>
      </c>
      <c r="D153" s="18">
        <f>D152+D149</f>
        <v>83343.259999999995</v>
      </c>
      <c r="E153" s="146" t="s">
        <v>108</v>
      </c>
      <c r="F153" s="14"/>
      <c r="G153" s="13"/>
      <c r="H153" s="13"/>
      <c r="I153" s="37"/>
    </row>
    <row r="154" spans="1:9" ht="20.25" x14ac:dyDescent="0.3">
      <c r="A154" s="39" t="s">
        <v>39</v>
      </c>
      <c r="B154" s="18">
        <f>B151-E159</f>
        <v>0</v>
      </c>
      <c r="C154" s="18">
        <f>C151-E163</f>
        <v>23996.694999999985</v>
      </c>
      <c r="D154" s="18">
        <f>D151-E171</f>
        <v>45844.539999999994</v>
      </c>
      <c r="E154" s="146" t="s">
        <v>109</v>
      </c>
      <c r="F154" s="14"/>
      <c r="G154" s="13"/>
      <c r="H154" s="13"/>
      <c r="I154" s="37"/>
    </row>
    <row r="155" spans="1:9" x14ac:dyDescent="0.2">
      <c r="A155" s="39" t="s">
        <v>35</v>
      </c>
      <c r="B155" s="38">
        <f>B153-E159-F159</f>
        <v>0</v>
      </c>
      <c r="C155" s="38">
        <f>C153-E163-F163</f>
        <v>23996.694999999985</v>
      </c>
      <c r="D155" s="44">
        <f>D153-E171-F171</f>
        <v>20604.539999999994</v>
      </c>
      <c r="E155" s="554" t="s">
        <v>110</v>
      </c>
      <c r="F155" s="555"/>
      <c r="G155" s="555"/>
      <c r="H155" s="555"/>
      <c r="I155" s="141"/>
    </row>
    <row r="156" spans="1:9" ht="21" thickBot="1" x14ac:dyDescent="0.35">
      <c r="A156" s="39"/>
      <c r="B156" s="13"/>
      <c r="C156" s="13"/>
      <c r="D156" s="13"/>
      <c r="E156" s="14"/>
      <c r="F156" s="14"/>
      <c r="G156" s="13"/>
      <c r="H156" s="13"/>
      <c r="I156" s="37"/>
    </row>
    <row r="157" spans="1:9" ht="51" x14ac:dyDescent="0.2">
      <c r="A157" s="19" t="s">
        <v>41</v>
      </c>
      <c r="B157" s="20" t="s">
        <v>34</v>
      </c>
      <c r="C157" s="20" t="s">
        <v>64</v>
      </c>
      <c r="D157" s="20" t="s">
        <v>63</v>
      </c>
      <c r="E157" s="20" t="s">
        <v>37</v>
      </c>
      <c r="F157" s="20" t="s">
        <v>48</v>
      </c>
      <c r="G157" s="20" t="s">
        <v>40</v>
      </c>
      <c r="H157" s="20" t="s">
        <v>38</v>
      </c>
      <c r="I157" s="21" t="s">
        <v>5</v>
      </c>
    </row>
    <row r="158" spans="1:9" x14ac:dyDescent="0.2">
      <c r="A158" s="22" t="s">
        <v>10</v>
      </c>
      <c r="B158" s="23" t="s">
        <v>10</v>
      </c>
      <c r="C158" s="57">
        <v>44500</v>
      </c>
      <c r="D158" s="50">
        <v>43467</v>
      </c>
      <c r="E158" s="57">
        <f>C158</f>
        <v>44500</v>
      </c>
      <c r="F158" s="57"/>
      <c r="G158" s="23" t="s">
        <v>623</v>
      </c>
      <c r="H158" s="23" t="s">
        <v>487</v>
      </c>
      <c r="I158" s="24"/>
    </row>
    <row r="159" spans="1:9" x14ac:dyDescent="0.2">
      <c r="A159" s="25" t="s">
        <v>43</v>
      </c>
      <c r="B159" s="26"/>
      <c r="C159" s="61">
        <f>C158</f>
        <v>44500</v>
      </c>
      <c r="D159" s="26"/>
      <c r="E159" s="61">
        <f>E158</f>
        <v>44500</v>
      </c>
      <c r="F159" s="61">
        <f>F158</f>
        <v>0</v>
      </c>
      <c r="G159" s="26"/>
      <c r="H159" s="26"/>
      <c r="I159" s="27"/>
    </row>
    <row r="160" spans="1:9" x14ac:dyDescent="0.2">
      <c r="A160" s="33"/>
      <c r="B160" s="33"/>
      <c r="C160" s="59"/>
      <c r="D160" s="33"/>
      <c r="E160" s="59"/>
      <c r="F160" s="59"/>
      <c r="G160" s="33"/>
      <c r="H160" s="33"/>
      <c r="I160" s="33"/>
    </row>
    <row r="161" spans="1:9" x14ac:dyDescent="0.2">
      <c r="A161" s="25" t="s">
        <v>44</v>
      </c>
      <c r="B161" s="219" t="s">
        <v>568</v>
      </c>
      <c r="C161" s="58">
        <v>4651.4799999999996</v>
      </c>
      <c r="D161" s="55">
        <v>43735</v>
      </c>
      <c r="E161" s="58">
        <v>46651.48</v>
      </c>
      <c r="F161" s="58">
        <f>IF(E161="",C161,0)</f>
        <v>0</v>
      </c>
      <c r="G161" s="26" t="s">
        <v>680</v>
      </c>
      <c r="H161" s="26" t="s">
        <v>487</v>
      </c>
      <c r="I161" s="80"/>
    </row>
    <row r="162" spans="1:9" x14ac:dyDescent="0.2">
      <c r="A162" s="25"/>
      <c r="B162" s="219" t="s">
        <v>568</v>
      </c>
      <c r="C162" s="58">
        <v>6434.45</v>
      </c>
      <c r="D162" s="55">
        <v>43921</v>
      </c>
      <c r="E162" s="58">
        <v>6434.45</v>
      </c>
      <c r="F162" s="58">
        <v>0</v>
      </c>
      <c r="G162" s="26" t="s">
        <v>739</v>
      </c>
      <c r="H162" s="26" t="s">
        <v>487</v>
      </c>
      <c r="I162" s="80"/>
    </row>
    <row r="163" spans="1:9" x14ac:dyDescent="0.2">
      <c r="A163" s="25" t="s">
        <v>43</v>
      </c>
      <c r="B163" s="26"/>
      <c r="C163" s="60">
        <f>SUM(C161:C162)</f>
        <v>11085.93</v>
      </c>
      <c r="D163" s="26"/>
      <c r="E163" s="60">
        <f>E161</f>
        <v>46651.48</v>
      </c>
      <c r="F163" s="60">
        <f>SUM(F161:F162)</f>
        <v>0</v>
      </c>
      <c r="G163" s="26"/>
      <c r="H163" s="26"/>
      <c r="I163" s="27"/>
    </row>
    <row r="164" spans="1:9" x14ac:dyDescent="0.2">
      <c r="A164" s="33"/>
      <c r="B164" s="33"/>
      <c r="C164" s="59"/>
      <c r="D164" s="33"/>
      <c r="E164" s="59"/>
      <c r="F164" s="59"/>
      <c r="G164" s="33"/>
      <c r="H164" s="33"/>
      <c r="I164" s="33"/>
    </row>
    <row r="165" spans="1:9" x14ac:dyDescent="0.2">
      <c r="A165" s="25" t="s">
        <v>42</v>
      </c>
      <c r="B165" s="41"/>
      <c r="C165" s="151"/>
      <c r="D165" s="53"/>
      <c r="E165" s="151"/>
      <c r="F165" s="83"/>
      <c r="G165" s="41"/>
      <c r="H165" s="41"/>
      <c r="I165" s="43"/>
    </row>
    <row r="166" spans="1:9" x14ac:dyDescent="0.2">
      <c r="A166" s="150"/>
      <c r="B166" s="164" t="s">
        <v>10</v>
      </c>
      <c r="C166" s="58">
        <v>30400</v>
      </c>
      <c r="D166" s="167" t="s">
        <v>646</v>
      </c>
      <c r="E166" s="151">
        <v>24780</v>
      </c>
      <c r="F166" s="83">
        <f>30400-24780</f>
        <v>5620</v>
      </c>
      <c r="G166" s="240" t="s">
        <v>728</v>
      </c>
      <c r="H166" s="53" t="s">
        <v>645</v>
      </c>
      <c r="I166" s="43"/>
    </row>
    <row r="167" spans="1:9" x14ac:dyDescent="0.2">
      <c r="A167" s="150"/>
      <c r="B167" s="164" t="s">
        <v>10</v>
      </c>
      <c r="C167" s="58">
        <v>7000</v>
      </c>
      <c r="D167" s="167" t="s">
        <v>664</v>
      </c>
      <c r="E167" s="151"/>
      <c r="F167" s="83">
        <v>7000</v>
      </c>
      <c r="G167" s="53"/>
      <c r="H167" s="53" t="s">
        <v>645</v>
      </c>
      <c r="I167" s="144" t="s">
        <v>579</v>
      </c>
    </row>
    <row r="168" spans="1:9" x14ac:dyDescent="0.2">
      <c r="A168" s="150"/>
      <c r="B168" s="164" t="s">
        <v>532</v>
      </c>
      <c r="C168" s="58">
        <v>38000</v>
      </c>
      <c r="D168" s="167" t="s">
        <v>654</v>
      </c>
      <c r="E168" s="151">
        <v>25338.720000000001</v>
      </c>
      <c r="F168" s="83">
        <f>C168-E168</f>
        <v>12661.279999999999</v>
      </c>
      <c r="G168" s="53" t="s">
        <v>713</v>
      </c>
      <c r="H168" s="53" t="s">
        <v>645</v>
      </c>
      <c r="I168" s="144" t="s">
        <v>98</v>
      </c>
    </row>
    <row r="169" spans="1:9" x14ac:dyDescent="0.2">
      <c r="A169" s="150"/>
      <c r="B169" s="164"/>
      <c r="C169" s="58"/>
      <c r="D169" s="167"/>
      <c r="E169" s="151"/>
      <c r="F169" s="83">
        <v>-12661.28</v>
      </c>
      <c r="G169" s="53"/>
      <c r="H169" s="53"/>
      <c r="I169" s="144" t="s">
        <v>681</v>
      </c>
    </row>
    <row r="170" spans="1:9" x14ac:dyDescent="0.2">
      <c r="A170" s="150"/>
      <c r="B170" s="164"/>
      <c r="C170" s="58"/>
      <c r="D170" s="53"/>
      <c r="E170" s="151"/>
      <c r="F170" s="83"/>
      <c r="G170" s="53"/>
      <c r="H170" s="53"/>
      <c r="I170" s="144"/>
    </row>
    <row r="171" spans="1:9" ht="13.5" thickBot="1" x14ac:dyDescent="0.25">
      <c r="A171" s="28" t="s">
        <v>43</v>
      </c>
      <c r="B171" s="29"/>
      <c r="C171" s="56">
        <f>SUM(C165:C170)</f>
        <v>75400</v>
      </c>
      <c r="D171" s="29"/>
      <c r="E171" s="56">
        <f>SUM(E165:E170)</f>
        <v>50118.720000000001</v>
      </c>
      <c r="F171" s="56">
        <f>SUM(F165:F170)</f>
        <v>12619.999999999998</v>
      </c>
      <c r="G171" s="29"/>
      <c r="H171" s="29"/>
      <c r="I171" s="30"/>
    </row>
    <row r="172" spans="1:9" x14ac:dyDescent="0.2">
      <c r="A172" s="18"/>
      <c r="B172" s="18"/>
      <c r="C172" s="74"/>
      <c r="D172" s="18"/>
      <c r="E172" s="74"/>
      <c r="F172" s="74"/>
      <c r="G172" s="18"/>
      <c r="H172" s="18"/>
      <c r="I172" s="18"/>
    </row>
    <row r="173" spans="1:9" x14ac:dyDescent="0.2">
      <c r="A173" s="18"/>
      <c r="B173" s="18"/>
      <c r="C173" s="74"/>
      <c r="D173" s="18"/>
      <c r="E173" s="74"/>
      <c r="F173" s="74"/>
      <c r="G173" s="18"/>
      <c r="H173" s="18"/>
      <c r="I173" s="18"/>
    </row>
    <row r="174" spans="1:9" x14ac:dyDescent="0.2">
      <c r="A174" s="18"/>
      <c r="B174" s="18"/>
      <c r="C174" s="74"/>
      <c r="D174" s="18"/>
      <c r="E174" s="74"/>
      <c r="F174" s="74"/>
      <c r="G174" s="18"/>
      <c r="H174" s="18"/>
      <c r="I174" s="18"/>
    </row>
    <row r="175" spans="1:9" ht="13.5" thickBot="1" x14ac:dyDescent="0.25"/>
    <row r="176" spans="1:9" ht="21" thickBot="1" x14ac:dyDescent="0.35">
      <c r="A176" s="597" t="s">
        <v>609</v>
      </c>
      <c r="B176" s="598"/>
      <c r="C176" s="598"/>
      <c r="D176" s="598"/>
      <c r="E176" s="598"/>
      <c r="F176" s="598"/>
      <c r="G176" s="598"/>
      <c r="H176" s="598"/>
      <c r="I176" s="599"/>
    </row>
    <row r="177" spans="1:9" ht="20.25" x14ac:dyDescent="0.3">
      <c r="A177" s="39"/>
      <c r="B177" s="13" t="s">
        <v>600</v>
      </c>
      <c r="C177" s="13" t="s">
        <v>601</v>
      </c>
      <c r="D177" s="13" t="s">
        <v>602</v>
      </c>
      <c r="E177" s="14"/>
      <c r="F177" s="14"/>
      <c r="G177" s="13"/>
      <c r="H177" s="13"/>
      <c r="I177" s="37"/>
    </row>
    <row r="178" spans="1:9" ht="20.25" x14ac:dyDescent="0.3">
      <c r="A178" s="39" t="s">
        <v>606</v>
      </c>
      <c r="B178" s="18">
        <v>44500</v>
      </c>
      <c r="C178" s="18">
        <f>1.03*C204</f>
        <v>39088.5</v>
      </c>
      <c r="D178" s="18">
        <v>70000</v>
      </c>
      <c r="E178" s="155"/>
      <c r="F178" s="14"/>
      <c r="G178" s="13"/>
      <c r="H178" s="13"/>
      <c r="I178" s="37"/>
    </row>
    <row r="179" spans="1:9" ht="20.25" x14ac:dyDescent="0.3">
      <c r="A179" s="39" t="s">
        <v>36</v>
      </c>
      <c r="B179" s="18">
        <f>IF(B209&gt;44500,44500,B209)</f>
        <v>0</v>
      </c>
      <c r="C179" s="18">
        <f>IF(C209&gt;37950,37950,C209)</f>
        <v>37950</v>
      </c>
      <c r="D179" s="18">
        <f>IF(D209&gt;70000,70000,D209)</f>
        <v>6081.9799999999959</v>
      </c>
      <c r="E179" s="14"/>
      <c r="F179" s="14"/>
      <c r="G179" s="13"/>
      <c r="H179" s="13"/>
      <c r="I179" s="37"/>
    </row>
    <row r="180" spans="1:9" ht="20.25" x14ac:dyDescent="0.3">
      <c r="A180" s="39" t="s">
        <v>603</v>
      </c>
      <c r="B180" s="18">
        <f>SUM(B178:B179)</f>
        <v>44500</v>
      </c>
      <c r="C180" s="18">
        <f>SUM(C178:C179)</f>
        <v>77038.5</v>
      </c>
      <c r="D180" s="18">
        <f>SUM(D178:D179)</f>
        <v>76081.98</v>
      </c>
      <c r="E180" s="125" t="s">
        <v>107</v>
      </c>
      <c r="F180" s="14"/>
      <c r="G180" s="13"/>
      <c r="H180" s="13"/>
      <c r="I180" s="37"/>
    </row>
    <row r="181" spans="1:9" ht="20.25" x14ac:dyDescent="0.3">
      <c r="A181" s="39" t="s">
        <v>47</v>
      </c>
      <c r="B181" s="18">
        <f>IF(B210&gt;44500,44500,B210)</f>
        <v>0</v>
      </c>
      <c r="C181" s="18">
        <f>IF(C210&gt;37950,37950,C210)</f>
        <v>37950</v>
      </c>
      <c r="D181" s="18">
        <f>IF(D210&gt;70000,70000,D210)</f>
        <v>6081.9799999999959</v>
      </c>
      <c r="E181" s="14"/>
      <c r="F181" s="14"/>
      <c r="G181" s="13"/>
      <c r="H181" s="13"/>
      <c r="I181" s="37"/>
    </row>
    <row r="182" spans="1:9" ht="20.25" x14ac:dyDescent="0.3">
      <c r="A182" s="39" t="s">
        <v>45</v>
      </c>
      <c r="B182" s="18">
        <f>B181+B178</f>
        <v>44500</v>
      </c>
      <c r="C182" s="18">
        <f>C181+C178</f>
        <v>77038.5</v>
      </c>
      <c r="D182" s="18">
        <f>D181+D178</f>
        <v>76081.98</v>
      </c>
      <c r="E182" s="146" t="s">
        <v>108</v>
      </c>
      <c r="F182" s="14"/>
      <c r="G182" s="13"/>
      <c r="H182" s="13"/>
      <c r="I182" s="37"/>
    </row>
    <row r="183" spans="1:9" ht="20.25" x14ac:dyDescent="0.3">
      <c r="A183" s="39" t="s">
        <v>39</v>
      </c>
      <c r="B183" s="18">
        <f>B180-E188</f>
        <v>0</v>
      </c>
      <c r="C183" s="18">
        <f>C180-E192</f>
        <v>30387.019999999997</v>
      </c>
      <c r="D183" s="18">
        <f>D180-E200</f>
        <v>25963.259999999995</v>
      </c>
      <c r="E183" s="146" t="s">
        <v>109</v>
      </c>
      <c r="F183" s="14"/>
      <c r="G183" s="13"/>
      <c r="H183" s="13"/>
      <c r="I183" s="37"/>
    </row>
    <row r="184" spans="1:9" x14ac:dyDescent="0.2">
      <c r="A184" s="39" t="s">
        <v>35</v>
      </c>
      <c r="B184" s="38">
        <f>B182-E188-F188</f>
        <v>0</v>
      </c>
      <c r="C184" s="38">
        <f>C182-E192-F192</f>
        <v>30387.019999999997</v>
      </c>
      <c r="D184" s="44">
        <f>D182-E200-F200</f>
        <v>13343.259999999997</v>
      </c>
      <c r="E184" s="554" t="s">
        <v>110</v>
      </c>
      <c r="F184" s="555"/>
      <c r="G184" s="555"/>
      <c r="H184" s="555"/>
      <c r="I184" s="141"/>
    </row>
    <row r="185" spans="1:9" ht="21" thickBot="1" x14ac:dyDescent="0.35">
      <c r="A185" s="39"/>
      <c r="B185" s="13"/>
      <c r="C185" s="13"/>
      <c r="D185" s="13"/>
      <c r="E185" s="14"/>
      <c r="F185" s="14"/>
      <c r="G185" s="13"/>
      <c r="H185" s="13"/>
      <c r="I185" s="37"/>
    </row>
    <row r="186" spans="1:9" ht="51" x14ac:dyDescent="0.2">
      <c r="A186" s="19" t="s">
        <v>41</v>
      </c>
      <c r="B186" s="20" t="s">
        <v>34</v>
      </c>
      <c r="C186" s="20" t="s">
        <v>64</v>
      </c>
      <c r="D186" s="20" t="s">
        <v>63</v>
      </c>
      <c r="E186" s="20" t="s">
        <v>37</v>
      </c>
      <c r="F186" s="20" t="s">
        <v>48</v>
      </c>
      <c r="G186" s="20" t="s">
        <v>40</v>
      </c>
      <c r="H186" s="20" t="s">
        <v>38</v>
      </c>
      <c r="I186" s="21" t="s">
        <v>5</v>
      </c>
    </row>
    <row r="187" spans="1:9" x14ac:dyDescent="0.2">
      <c r="A187" s="22" t="s">
        <v>10</v>
      </c>
      <c r="B187" s="23" t="s">
        <v>10</v>
      </c>
      <c r="C187" s="57">
        <v>44500</v>
      </c>
      <c r="D187" s="50">
        <v>43467</v>
      </c>
      <c r="E187" s="57">
        <f>C187</f>
        <v>44500</v>
      </c>
      <c r="F187" s="57"/>
      <c r="G187" s="23" t="s">
        <v>623</v>
      </c>
      <c r="H187" s="23" t="s">
        <v>487</v>
      </c>
      <c r="I187" s="24"/>
    </row>
    <row r="188" spans="1:9" x14ac:dyDescent="0.2">
      <c r="A188" s="25" t="s">
        <v>43</v>
      </c>
      <c r="B188" s="26"/>
      <c r="C188" s="61">
        <f>C187</f>
        <v>44500</v>
      </c>
      <c r="D188" s="26"/>
      <c r="E188" s="61">
        <f>E187</f>
        <v>44500</v>
      </c>
      <c r="F188" s="61">
        <f>F187</f>
        <v>0</v>
      </c>
      <c r="G188" s="26"/>
      <c r="H188" s="26"/>
      <c r="I188" s="27"/>
    </row>
    <row r="189" spans="1:9" x14ac:dyDescent="0.2">
      <c r="A189" s="33"/>
      <c r="B189" s="33"/>
      <c r="C189" s="59"/>
      <c r="D189" s="33"/>
      <c r="E189" s="59"/>
      <c r="F189" s="59"/>
      <c r="G189" s="33"/>
      <c r="H189" s="33"/>
      <c r="I189" s="33"/>
    </row>
    <row r="190" spans="1:9" x14ac:dyDescent="0.2">
      <c r="A190" s="25" t="s">
        <v>44</v>
      </c>
      <c r="B190" s="219" t="s">
        <v>568</v>
      </c>
      <c r="C190" s="58">
        <v>4651.4799999999996</v>
      </c>
      <c r="D190" s="55">
        <v>43735</v>
      </c>
      <c r="E190" s="58">
        <v>46651.48</v>
      </c>
      <c r="F190" s="58">
        <f>IF(E190="",C190,0)</f>
        <v>0</v>
      </c>
      <c r="G190" s="26" t="s">
        <v>680</v>
      </c>
      <c r="H190" s="26" t="s">
        <v>487</v>
      </c>
      <c r="I190" s="80"/>
    </row>
    <row r="191" spans="1:9" x14ac:dyDescent="0.2">
      <c r="A191" s="25"/>
      <c r="B191" s="219" t="s">
        <v>568</v>
      </c>
      <c r="C191" s="58">
        <v>6434.45</v>
      </c>
      <c r="D191" s="55">
        <v>43921</v>
      </c>
      <c r="E191" s="58">
        <v>6434.45</v>
      </c>
      <c r="F191" s="58">
        <v>0</v>
      </c>
      <c r="G191" s="26" t="s">
        <v>739</v>
      </c>
      <c r="H191" s="26" t="s">
        <v>487</v>
      </c>
      <c r="I191" s="80"/>
    </row>
    <row r="192" spans="1:9" x14ac:dyDescent="0.2">
      <c r="A192" s="25" t="s">
        <v>43</v>
      </c>
      <c r="B192" s="26"/>
      <c r="C192" s="60">
        <f>SUM(C190:C191)</f>
        <v>11085.93</v>
      </c>
      <c r="D192" s="26"/>
      <c r="E192" s="60">
        <f>E190</f>
        <v>46651.48</v>
      </c>
      <c r="F192" s="60">
        <f>SUM(F190:F191)</f>
        <v>0</v>
      </c>
      <c r="G192" s="26"/>
      <c r="H192" s="26"/>
      <c r="I192" s="27"/>
    </row>
    <row r="193" spans="1:9" x14ac:dyDescent="0.2">
      <c r="A193" s="33"/>
      <c r="B193" s="33"/>
      <c r="C193" s="59"/>
      <c r="D193" s="33"/>
      <c r="E193" s="59"/>
      <c r="F193" s="59"/>
      <c r="G193" s="33"/>
      <c r="H193" s="33"/>
      <c r="I193" s="33"/>
    </row>
    <row r="194" spans="1:9" x14ac:dyDescent="0.2">
      <c r="A194" s="25" t="s">
        <v>42</v>
      </c>
      <c r="B194" s="41"/>
      <c r="C194" s="151"/>
      <c r="D194" s="53"/>
      <c r="E194" s="151"/>
      <c r="F194" s="83"/>
      <c r="G194" s="41"/>
      <c r="H194" s="41"/>
      <c r="I194" s="43"/>
    </row>
    <row r="195" spans="1:9" x14ac:dyDescent="0.2">
      <c r="A195" s="150"/>
      <c r="B195" s="164" t="s">
        <v>10</v>
      </c>
      <c r="C195" s="58">
        <v>30400</v>
      </c>
      <c r="D195" s="167" t="s">
        <v>646</v>
      </c>
      <c r="E195" s="151">
        <v>24780</v>
      </c>
      <c r="F195" s="83">
        <f>30400-24780</f>
        <v>5620</v>
      </c>
      <c r="G195" s="240" t="s">
        <v>728</v>
      </c>
      <c r="H195" s="53" t="s">
        <v>645</v>
      </c>
      <c r="I195" s="43"/>
    </row>
    <row r="196" spans="1:9" x14ac:dyDescent="0.2">
      <c r="A196" s="150"/>
      <c r="B196" s="164" t="s">
        <v>10</v>
      </c>
      <c r="C196" s="58">
        <v>7000</v>
      </c>
      <c r="D196" s="167" t="s">
        <v>664</v>
      </c>
      <c r="E196" s="151"/>
      <c r="F196" s="83">
        <v>7000</v>
      </c>
      <c r="G196" s="53"/>
      <c r="H196" s="53" t="s">
        <v>645</v>
      </c>
      <c r="I196" s="144" t="s">
        <v>579</v>
      </c>
    </row>
    <row r="197" spans="1:9" x14ac:dyDescent="0.2">
      <c r="A197" s="150"/>
      <c r="B197" s="164" t="s">
        <v>532</v>
      </c>
      <c r="C197" s="58">
        <v>38000</v>
      </c>
      <c r="D197" s="167" t="s">
        <v>654</v>
      </c>
      <c r="E197" s="151">
        <v>25338.720000000001</v>
      </c>
      <c r="F197" s="83">
        <f>C197-E197</f>
        <v>12661.279999999999</v>
      </c>
      <c r="G197" s="53" t="s">
        <v>713</v>
      </c>
      <c r="H197" s="53" t="s">
        <v>645</v>
      </c>
      <c r="I197" s="144" t="s">
        <v>98</v>
      </c>
    </row>
    <row r="198" spans="1:9" x14ac:dyDescent="0.2">
      <c r="A198" s="150"/>
      <c r="B198" s="164"/>
      <c r="C198" s="58"/>
      <c r="D198" s="167"/>
      <c r="E198" s="151"/>
      <c r="F198" s="83">
        <v>-12661.28</v>
      </c>
      <c r="G198" s="53"/>
      <c r="H198" s="53"/>
      <c r="I198" s="144" t="s">
        <v>681</v>
      </c>
    </row>
    <row r="199" spans="1:9" x14ac:dyDescent="0.2">
      <c r="A199" s="150"/>
      <c r="B199" s="164"/>
      <c r="C199" s="58"/>
      <c r="D199" s="53"/>
      <c r="E199" s="151"/>
      <c r="F199" s="83"/>
      <c r="G199" s="53"/>
      <c r="H199" s="53"/>
      <c r="I199" s="144"/>
    </row>
    <row r="200" spans="1:9" ht="13.5" thickBot="1" x14ac:dyDescent="0.25">
      <c r="A200" s="28" t="s">
        <v>43</v>
      </c>
      <c r="B200" s="29"/>
      <c r="C200" s="56">
        <f>SUM(C194:C199)</f>
        <v>75400</v>
      </c>
      <c r="D200" s="29"/>
      <c r="E200" s="56">
        <f>SUM(E194:E199)</f>
        <v>50118.720000000001</v>
      </c>
      <c r="F200" s="56">
        <f>SUM(F194:F199)</f>
        <v>12619.999999999998</v>
      </c>
      <c r="G200" s="29"/>
      <c r="H200" s="29"/>
      <c r="I200" s="30"/>
    </row>
    <row r="201" spans="1:9" ht="13.5" thickBot="1" x14ac:dyDescent="0.25"/>
    <row r="202" spans="1:9" ht="21" thickBot="1" x14ac:dyDescent="0.35">
      <c r="A202" s="597" t="s">
        <v>488</v>
      </c>
      <c r="B202" s="598"/>
      <c r="C202" s="598"/>
      <c r="D202" s="598"/>
      <c r="E202" s="598"/>
      <c r="F202" s="598"/>
      <c r="G202" s="598"/>
      <c r="H202" s="598"/>
      <c r="I202" s="599"/>
    </row>
    <row r="203" spans="1:9" ht="20.25" x14ac:dyDescent="0.3">
      <c r="A203" s="39"/>
      <c r="B203" s="13" t="s">
        <v>472</v>
      </c>
      <c r="C203" s="13" t="s">
        <v>473</v>
      </c>
      <c r="D203" s="13" t="s">
        <v>474</v>
      </c>
      <c r="E203" s="14"/>
      <c r="F203" s="14"/>
      <c r="G203" s="13"/>
      <c r="H203" s="13"/>
      <c r="I203" s="37"/>
    </row>
    <row r="204" spans="1:9" ht="20.25" x14ac:dyDescent="0.3">
      <c r="A204" s="39" t="s">
        <v>477</v>
      </c>
      <c r="B204" s="18">
        <v>44500</v>
      </c>
      <c r="C204" s="18">
        <v>37950</v>
      </c>
      <c r="D204" s="18">
        <v>70000</v>
      </c>
      <c r="E204" s="155"/>
      <c r="F204" s="14"/>
      <c r="G204" s="13"/>
      <c r="H204" s="13"/>
      <c r="I204" s="37"/>
    </row>
    <row r="205" spans="1:9" ht="20.25" x14ac:dyDescent="0.3">
      <c r="A205" s="39" t="s">
        <v>36</v>
      </c>
      <c r="B205" s="18">
        <f>IF(B235&gt;34500,34500,B235)</f>
        <v>0</v>
      </c>
      <c r="C205" s="18">
        <f>IF(C235&gt;34500,34500,C235)</f>
        <v>34500</v>
      </c>
      <c r="D205" s="18">
        <f>IF(D235&gt;70000,70000,D235)</f>
        <v>0.5</v>
      </c>
      <c r="E205" s="14"/>
      <c r="F205" s="14"/>
      <c r="G205" s="13"/>
      <c r="H205" s="13"/>
      <c r="I205" s="37"/>
    </row>
    <row r="206" spans="1:9" ht="20.25" x14ac:dyDescent="0.3">
      <c r="A206" s="39" t="s">
        <v>475</v>
      </c>
      <c r="B206" s="18">
        <f>SUM(B204:B205)</f>
        <v>44500</v>
      </c>
      <c r="C206" s="18">
        <f>SUM(C204:C205)</f>
        <v>72450</v>
      </c>
      <c r="D206" s="18">
        <f>SUM(D204:D205)</f>
        <v>70000.5</v>
      </c>
      <c r="E206" s="125" t="s">
        <v>107</v>
      </c>
      <c r="F206" s="14"/>
      <c r="G206" s="13"/>
      <c r="H206" s="13"/>
      <c r="I206" s="37"/>
    </row>
    <row r="207" spans="1:9" ht="20.25" x14ac:dyDescent="0.3">
      <c r="A207" s="39" t="s">
        <v>47</v>
      </c>
      <c r="B207" s="18">
        <f>IF(B236&gt;34500,30000,B236)</f>
        <v>0</v>
      </c>
      <c r="C207" s="18">
        <f>IF(C235&gt;34500,34500,C235)</f>
        <v>34500</v>
      </c>
      <c r="D207" s="18">
        <f>IF(D235&gt;70000,70000,D235)</f>
        <v>0.5</v>
      </c>
      <c r="E207" s="14"/>
      <c r="F207" s="14"/>
      <c r="G207" s="13"/>
      <c r="H207" s="13"/>
      <c r="I207" s="37"/>
    </row>
    <row r="208" spans="1:9" ht="20.25" x14ac:dyDescent="0.3">
      <c r="A208" s="39" t="s">
        <v>45</v>
      </c>
      <c r="B208" s="18">
        <f>B207+B204</f>
        <v>44500</v>
      </c>
      <c r="C208" s="18">
        <f>C207+C204</f>
        <v>72450</v>
      </c>
      <c r="D208" s="18">
        <f>D207+D204</f>
        <v>70000.5</v>
      </c>
      <c r="E208" s="146" t="s">
        <v>108</v>
      </c>
      <c r="F208" s="14"/>
      <c r="G208" s="13"/>
      <c r="H208" s="13"/>
      <c r="I208" s="37"/>
    </row>
    <row r="209" spans="1:9" ht="20.25" x14ac:dyDescent="0.3">
      <c r="A209" s="39" t="s">
        <v>39</v>
      </c>
      <c r="B209" s="18">
        <f>B206-E214</f>
        <v>0</v>
      </c>
      <c r="C209" s="18">
        <f>C206-E218</f>
        <v>53981.39</v>
      </c>
      <c r="D209" s="18">
        <f>D206-E225</f>
        <v>6081.9799999999959</v>
      </c>
      <c r="E209" s="146" t="s">
        <v>109</v>
      </c>
      <c r="F209" s="14"/>
      <c r="G209" s="13"/>
      <c r="H209" s="13"/>
      <c r="I209" s="37"/>
    </row>
    <row r="210" spans="1:9" x14ac:dyDescent="0.2">
      <c r="A210" s="39" t="s">
        <v>35</v>
      </c>
      <c r="B210" s="38">
        <f>B208-E214-F214</f>
        <v>0</v>
      </c>
      <c r="C210" s="38">
        <f>C208-E218-F218</f>
        <v>53981.39</v>
      </c>
      <c r="D210" s="44">
        <f>D208-E225-F225</f>
        <v>6081.9799999999959</v>
      </c>
      <c r="E210" s="554" t="s">
        <v>110</v>
      </c>
      <c r="F210" s="555"/>
      <c r="G210" s="555"/>
      <c r="H210" s="555"/>
      <c r="I210" s="141"/>
    </row>
    <row r="211" spans="1:9" ht="21" thickBot="1" x14ac:dyDescent="0.35">
      <c r="A211" s="39"/>
      <c r="B211" s="13"/>
      <c r="C211" s="13"/>
      <c r="D211" s="13"/>
      <c r="E211" s="14"/>
      <c r="F211" s="14"/>
      <c r="G211" s="13"/>
      <c r="H211" s="13"/>
      <c r="I211" s="37"/>
    </row>
    <row r="212" spans="1:9" ht="51" x14ac:dyDescent="0.2">
      <c r="A212" s="19" t="s">
        <v>41</v>
      </c>
      <c r="B212" s="20" t="s">
        <v>34</v>
      </c>
      <c r="C212" s="20" t="s">
        <v>64</v>
      </c>
      <c r="D212" s="20" t="s">
        <v>63</v>
      </c>
      <c r="E212" s="20" t="s">
        <v>37</v>
      </c>
      <c r="F212" s="20" t="s">
        <v>48</v>
      </c>
      <c r="G212" s="20" t="s">
        <v>40</v>
      </c>
      <c r="H212" s="20" t="s">
        <v>38</v>
      </c>
      <c r="I212" s="21" t="s">
        <v>5</v>
      </c>
    </row>
    <row r="213" spans="1:9" x14ac:dyDescent="0.2">
      <c r="A213" s="22" t="s">
        <v>10</v>
      </c>
      <c r="B213" s="23" t="s">
        <v>10</v>
      </c>
      <c r="C213" s="57">
        <v>44500</v>
      </c>
      <c r="D213" s="50"/>
      <c r="E213" s="57">
        <v>44500</v>
      </c>
      <c r="F213" s="57">
        <f>IF(E213="",C213,0)</f>
        <v>0</v>
      </c>
      <c r="G213" s="23" t="s">
        <v>490</v>
      </c>
      <c r="H213" s="23" t="s">
        <v>491</v>
      </c>
      <c r="I213" s="24"/>
    </row>
    <row r="214" spans="1:9" x14ac:dyDescent="0.2">
      <c r="A214" s="25" t="s">
        <v>43</v>
      </c>
      <c r="B214" s="26"/>
      <c r="C214" s="61">
        <f>C213</f>
        <v>44500</v>
      </c>
      <c r="D214" s="26"/>
      <c r="E214" s="61">
        <f>E213</f>
        <v>44500</v>
      </c>
      <c r="F214" s="61">
        <f>F213</f>
        <v>0</v>
      </c>
      <c r="G214" s="26"/>
      <c r="H214" s="26"/>
      <c r="I214" s="27"/>
    </row>
    <row r="215" spans="1:9" x14ac:dyDescent="0.2">
      <c r="A215" s="33"/>
      <c r="B215" s="33"/>
      <c r="C215" s="59"/>
      <c r="D215" s="33"/>
      <c r="E215" s="59"/>
      <c r="F215" s="59"/>
      <c r="G215" s="33"/>
      <c r="H215" s="33"/>
      <c r="I215" s="33"/>
    </row>
    <row r="216" spans="1:9" x14ac:dyDescent="0.2">
      <c r="A216" s="25" t="s">
        <v>44</v>
      </c>
      <c r="B216" s="219" t="s">
        <v>568</v>
      </c>
      <c r="C216" s="58">
        <v>18468.61</v>
      </c>
      <c r="D216" s="55">
        <v>43374</v>
      </c>
      <c r="E216" s="58">
        <v>18468.61</v>
      </c>
      <c r="F216" s="58">
        <f>IF(E216="",C216,0)</f>
        <v>0</v>
      </c>
      <c r="G216" s="26" t="s">
        <v>630</v>
      </c>
      <c r="H216" s="26" t="s">
        <v>487</v>
      </c>
      <c r="I216" s="80"/>
    </row>
    <row r="217" spans="1:9" x14ac:dyDescent="0.2">
      <c r="A217" s="25"/>
      <c r="B217" s="219"/>
      <c r="C217" s="58">
        <v>9971.4599999999991</v>
      </c>
      <c r="D217" s="55">
        <v>43551</v>
      </c>
      <c r="E217" s="58">
        <f>C217</f>
        <v>9971.4599999999991</v>
      </c>
      <c r="F217" s="58"/>
      <c r="G217" s="26" t="s">
        <v>639</v>
      </c>
      <c r="H217" s="26" t="s">
        <v>487</v>
      </c>
      <c r="I217" s="80"/>
    </row>
    <row r="218" spans="1:9" x14ac:dyDescent="0.2">
      <c r="A218" s="25" t="s">
        <v>43</v>
      </c>
      <c r="B218" s="26"/>
      <c r="C218" s="60">
        <f>C216</f>
        <v>18468.61</v>
      </c>
      <c r="D218" s="26"/>
      <c r="E218" s="60">
        <f>E216</f>
        <v>18468.61</v>
      </c>
      <c r="F218" s="60">
        <f>F216+F217</f>
        <v>0</v>
      </c>
      <c r="G218" s="26"/>
      <c r="H218" s="26"/>
      <c r="I218" s="27"/>
    </row>
    <row r="219" spans="1:9" x14ac:dyDescent="0.2">
      <c r="A219" s="33"/>
      <c r="B219" s="33"/>
      <c r="C219" s="59"/>
      <c r="D219" s="33"/>
      <c r="E219" s="59"/>
      <c r="F219" s="59"/>
      <c r="G219" s="33"/>
      <c r="H219" s="33"/>
      <c r="I219" s="33"/>
    </row>
    <row r="220" spans="1:9" x14ac:dyDescent="0.2">
      <c r="A220" s="25" t="s">
        <v>42</v>
      </c>
      <c r="B220" s="41" t="s">
        <v>18</v>
      </c>
      <c r="C220" s="151">
        <v>35760</v>
      </c>
      <c r="D220" s="53" t="s">
        <v>512</v>
      </c>
      <c r="E220" s="151">
        <v>35790</v>
      </c>
      <c r="F220" s="83">
        <v>0</v>
      </c>
      <c r="G220" s="41" t="s">
        <v>566</v>
      </c>
      <c r="H220" s="41" t="s">
        <v>455</v>
      </c>
      <c r="I220" s="43" t="s">
        <v>100</v>
      </c>
    </row>
    <row r="221" spans="1:9" x14ac:dyDescent="0.2">
      <c r="A221" s="150"/>
      <c r="B221" s="164" t="s">
        <v>10</v>
      </c>
      <c r="C221" s="58">
        <v>2000</v>
      </c>
      <c r="D221" s="167" t="s">
        <v>523</v>
      </c>
      <c r="E221" s="151">
        <v>2000</v>
      </c>
      <c r="F221" s="83">
        <v>0</v>
      </c>
      <c r="G221" s="53" t="s">
        <v>553</v>
      </c>
      <c r="H221" s="53" t="s">
        <v>518</v>
      </c>
      <c r="I221" s="43"/>
    </row>
    <row r="222" spans="1:9" x14ac:dyDescent="0.2">
      <c r="A222" s="150"/>
      <c r="B222" s="164" t="s">
        <v>532</v>
      </c>
      <c r="C222" s="58">
        <v>11915</v>
      </c>
      <c r="D222" s="167" t="s">
        <v>534</v>
      </c>
      <c r="E222" s="151">
        <v>5803.02</v>
      </c>
      <c r="F222" s="83">
        <v>6111.98</v>
      </c>
      <c r="G222" s="53" t="s">
        <v>565</v>
      </c>
      <c r="H222" s="53" t="s">
        <v>533</v>
      </c>
      <c r="I222" s="144" t="s">
        <v>100</v>
      </c>
    </row>
    <row r="223" spans="1:9" ht="12" customHeight="1" x14ac:dyDescent="0.2">
      <c r="A223" s="150"/>
      <c r="B223" s="164"/>
      <c r="C223" s="58"/>
      <c r="D223" s="167"/>
      <c r="E223" s="151"/>
      <c r="F223" s="83">
        <v>-6111.98</v>
      </c>
      <c r="G223" s="53"/>
      <c r="H223" s="53"/>
      <c r="I223" s="144" t="s">
        <v>67</v>
      </c>
    </row>
    <row r="224" spans="1:9" x14ac:dyDescent="0.2">
      <c r="A224" s="150"/>
      <c r="B224" s="164" t="s">
        <v>10</v>
      </c>
      <c r="C224" s="58">
        <v>20325.5</v>
      </c>
      <c r="D224" s="53" t="s">
        <v>536</v>
      </c>
      <c r="E224" s="151">
        <v>20325.5</v>
      </c>
      <c r="F224" s="83"/>
      <c r="G224" s="53" t="s">
        <v>545</v>
      </c>
      <c r="H224" s="53" t="s">
        <v>455</v>
      </c>
      <c r="I224" s="144"/>
    </row>
    <row r="225" spans="1:9" ht="13.5" thickBot="1" x14ac:dyDescent="0.25">
      <c r="A225" s="28" t="s">
        <v>43</v>
      </c>
      <c r="B225" s="29"/>
      <c r="C225" s="56">
        <f>SUM(C220:C224)</f>
        <v>70000.5</v>
      </c>
      <c r="D225" s="29"/>
      <c r="E225" s="56">
        <f>SUM(E220:E224)</f>
        <v>63918.520000000004</v>
      </c>
      <c r="F225" s="56">
        <f>SUM(F220:F224)</f>
        <v>0</v>
      </c>
      <c r="G225" s="29"/>
      <c r="H225" s="29"/>
      <c r="I225" s="30"/>
    </row>
    <row r="226" spans="1:9" ht="13.5" thickBot="1" x14ac:dyDescent="0.25">
      <c r="A226" s="211"/>
      <c r="B226" s="208"/>
      <c r="C226" s="209"/>
      <c r="D226" s="208"/>
      <c r="E226" s="209"/>
      <c r="F226" s="209"/>
      <c r="G226" s="208"/>
      <c r="H226" s="208"/>
      <c r="I226" s="210"/>
    </row>
    <row r="227" spans="1:9" ht="21" thickBot="1" x14ac:dyDescent="0.35">
      <c r="A227" s="597" t="s">
        <v>331</v>
      </c>
      <c r="B227" s="598"/>
      <c r="C227" s="598"/>
      <c r="D227" s="598"/>
      <c r="E227" s="598"/>
      <c r="F227" s="598"/>
      <c r="G227" s="598"/>
      <c r="H227" s="598"/>
      <c r="I227" s="599"/>
    </row>
    <row r="228" spans="1:9" ht="20.25" x14ac:dyDescent="0.3">
      <c r="A228" s="39"/>
      <c r="B228" s="13" t="s">
        <v>322</v>
      </c>
      <c r="C228" s="13" t="s">
        <v>323</v>
      </c>
      <c r="D228" s="13" t="s">
        <v>324</v>
      </c>
      <c r="E228" s="14"/>
      <c r="F228" s="14"/>
      <c r="G228" s="13"/>
      <c r="H228" s="13"/>
      <c r="I228" s="37"/>
    </row>
    <row r="229" spans="1:9" ht="20.25" x14ac:dyDescent="0.3">
      <c r="A229" s="39" t="s">
        <v>328</v>
      </c>
      <c r="B229" s="18">
        <v>34500</v>
      </c>
      <c r="C229" s="18">
        <v>34500</v>
      </c>
      <c r="D229" s="18">
        <v>70000</v>
      </c>
      <c r="E229" s="155"/>
      <c r="F229" s="14"/>
      <c r="G229" s="13"/>
      <c r="H229" s="13"/>
      <c r="I229" s="37"/>
    </row>
    <row r="230" spans="1:9" ht="20.25" x14ac:dyDescent="0.3">
      <c r="A230" s="39" t="s">
        <v>36</v>
      </c>
      <c r="B230" s="18">
        <f>IF(B259&gt;34500,34500,B259)</f>
        <v>0</v>
      </c>
      <c r="C230" s="18">
        <f>IF(C259&gt;34500,34500,C259)</f>
        <v>34500</v>
      </c>
      <c r="D230" s="18">
        <f>IF(D259&gt;70000,70000,D259)</f>
        <v>14215.650000000001</v>
      </c>
      <c r="E230" s="14"/>
      <c r="F230" s="14"/>
      <c r="G230" s="13"/>
      <c r="H230" s="13"/>
      <c r="I230" s="37"/>
    </row>
    <row r="231" spans="1:9" ht="20.25" x14ac:dyDescent="0.3">
      <c r="A231" s="39" t="s">
        <v>325</v>
      </c>
      <c r="B231" s="18">
        <f>SUM(B229:B230)</f>
        <v>34500</v>
      </c>
      <c r="C231" s="18">
        <f>SUM(C229:C230)</f>
        <v>69000</v>
      </c>
      <c r="D231" s="18">
        <f>SUM(D229:D230)</f>
        <v>84215.65</v>
      </c>
      <c r="E231" s="125" t="s">
        <v>107</v>
      </c>
      <c r="F231" s="14"/>
      <c r="G231" s="13"/>
      <c r="H231" s="13"/>
      <c r="I231" s="37"/>
    </row>
    <row r="232" spans="1:9" ht="20.25" x14ac:dyDescent="0.3">
      <c r="A232" s="39" t="s">
        <v>47</v>
      </c>
      <c r="B232" s="18">
        <f>IF(B260&gt;34500,30000,B260)</f>
        <v>0</v>
      </c>
      <c r="C232" s="18">
        <f>IF(C260&gt;34500,34500,C260)</f>
        <v>34500</v>
      </c>
      <c r="D232" s="18">
        <f>IF(D260&gt;70000,70000,D260)</f>
        <v>11797.11</v>
      </c>
      <c r="E232" s="14"/>
      <c r="F232" s="14"/>
      <c r="G232" s="13"/>
      <c r="H232" s="13"/>
      <c r="I232" s="37"/>
    </row>
    <row r="233" spans="1:9" ht="20.25" x14ac:dyDescent="0.3">
      <c r="A233" s="39" t="s">
        <v>45</v>
      </c>
      <c r="B233" s="18">
        <f>B232+B229</f>
        <v>34500</v>
      </c>
      <c r="C233" s="18">
        <f>C232+C229</f>
        <v>69000</v>
      </c>
      <c r="D233" s="18">
        <f>D232+D229</f>
        <v>81797.11</v>
      </c>
      <c r="E233" s="146" t="s">
        <v>108</v>
      </c>
      <c r="F233" s="14"/>
      <c r="G233" s="13"/>
      <c r="H233" s="13"/>
      <c r="I233" s="37"/>
    </row>
    <row r="234" spans="1:9" ht="20.25" x14ac:dyDescent="0.3">
      <c r="A234" s="39" t="s">
        <v>39</v>
      </c>
      <c r="B234" s="18">
        <f>B231-E239</f>
        <v>0</v>
      </c>
      <c r="C234" s="18">
        <f>C231-E242</f>
        <v>66185.19</v>
      </c>
      <c r="D234" s="18">
        <f>D231-E250</f>
        <v>2419.0399999999936</v>
      </c>
      <c r="E234" s="146" t="s">
        <v>109</v>
      </c>
      <c r="F234" s="14"/>
      <c r="G234" s="13"/>
      <c r="H234" s="13"/>
      <c r="I234" s="37"/>
    </row>
    <row r="235" spans="1:9" x14ac:dyDescent="0.2">
      <c r="A235" s="39" t="s">
        <v>35</v>
      </c>
      <c r="B235" s="38">
        <f>B233-E239-F239</f>
        <v>0</v>
      </c>
      <c r="C235" s="38">
        <f>C233-E242-F242</f>
        <v>66185.19</v>
      </c>
      <c r="D235" s="44">
        <f>D233-E250-F250</f>
        <v>0.5</v>
      </c>
      <c r="E235" s="554" t="s">
        <v>110</v>
      </c>
      <c r="F235" s="555"/>
      <c r="G235" s="555"/>
      <c r="H235" s="555"/>
      <c r="I235" s="141"/>
    </row>
    <row r="236" spans="1:9" ht="21" thickBot="1" x14ac:dyDescent="0.35">
      <c r="A236" s="39"/>
      <c r="B236" s="13"/>
      <c r="C236" s="13"/>
      <c r="D236" s="13"/>
      <c r="E236" s="14"/>
      <c r="F236" s="14"/>
      <c r="G236" s="13"/>
      <c r="H236" s="13"/>
      <c r="I236" s="37"/>
    </row>
    <row r="237" spans="1:9" ht="51" x14ac:dyDescent="0.2">
      <c r="A237" s="19" t="s">
        <v>41</v>
      </c>
      <c r="B237" s="20" t="s">
        <v>34</v>
      </c>
      <c r="C237" s="20" t="s">
        <v>64</v>
      </c>
      <c r="D237" s="20" t="s">
        <v>63</v>
      </c>
      <c r="E237" s="20" t="s">
        <v>37</v>
      </c>
      <c r="F237" s="20" t="s">
        <v>48</v>
      </c>
      <c r="G237" s="20" t="s">
        <v>40</v>
      </c>
      <c r="H237" s="20" t="s">
        <v>38</v>
      </c>
      <c r="I237" s="21" t="s">
        <v>5</v>
      </c>
    </row>
    <row r="238" spans="1:9" x14ac:dyDescent="0.2">
      <c r="A238" s="22" t="s">
        <v>10</v>
      </c>
      <c r="B238" s="23" t="s">
        <v>10</v>
      </c>
      <c r="C238" s="57">
        <v>34500</v>
      </c>
      <c r="D238" s="50">
        <v>42738</v>
      </c>
      <c r="E238" s="57">
        <v>34500</v>
      </c>
      <c r="F238" s="57">
        <f>IF(E238="",C238,0)</f>
        <v>0</v>
      </c>
      <c r="G238" s="23" t="s">
        <v>354</v>
      </c>
      <c r="H238" s="23" t="s">
        <v>355</v>
      </c>
      <c r="I238" s="24"/>
    </row>
    <row r="239" spans="1:9" x14ac:dyDescent="0.2">
      <c r="A239" s="25" t="s">
        <v>43</v>
      </c>
      <c r="B239" s="26"/>
      <c r="C239" s="61">
        <f>C238</f>
        <v>34500</v>
      </c>
      <c r="D239" s="26"/>
      <c r="E239" s="61">
        <f>E238</f>
        <v>34500</v>
      </c>
      <c r="F239" s="61">
        <f>F238</f>
        <v>0</v>
      </c>
      <c r="G239" s="26"/>
      <c r="H239" s="26"/>
      <c r="I239" s="27"/>
    </row>
    <row r="240" spans="1:9" x14ac:dyDescent="0.2">
      <c r="A240" s="33"/>
      <c r="B240" s="33"/>
      <c r="C240" s="59"/>
      <c r="D240" s="33"/>
      <c r="E240" s="59"/>
      <c r="F240" s="59"/>
      <c r="G240" s="33"/>
      <c r="H240" s="33"/>
      <c r="I240" s="33"/>
    </row>
    <row r="241" spans="1:9" x14ac:dyDescent="0.2">
      <c r="A241" s="25" t="s">
        <v>44</v>
      </c>
      <c r="B241" s="26" t="s">
        <v>18</v>
      </c>
      <c r="C241" s="58">
        <v>2814.81</v>
      </c>
      <c r="D241" s="55"/>
      <c r="E241" s="58">
        <v>2814.81</v>
      </c>
      <c r="F241" s="58">
        <f>IF(E241="",C241,0)</f>
        <v>0</v>
      </c>
      <c r="G241" s="26" t="s">
        <v>500</v>
      </c>
      <c r="H241" s="26" t="s">
        <v>501</v>
      </c>
      <c r="I241" s="80"/>
    </row>
    <row r="242" spans="1:9" x14ac:dyDescent="0.2">
      <c r="A242" s="25" t="s">
        <v>43</v>
      </c>
      <c r="B242" s="26"/>
      <c r="C242" s="60">
        <f>C241</f>
        <v>2814.81</v>
      </c>
      <c r="D242" s="26"/>
      <c r="E242" s="60">
        <f>E241</f>
        <v>2814.81</v>
      </c>
      <c r="F242" s="60">
        <f>F241</f>
        <v>0</v>
      </c>
      <c r="G242" s="26"/>
      <c r="H242" s="26"/>
      <c r="I242" s="27"/>
    </row>
    <row r="243" spans="1:9" x14ac:dyDescent="0.2">
      <c r="A243" s="33"/>
      <c r="B243" s="33"/>
      <c r="C243" s="59"/>
      <c r="D243" s="33"/>
      <c r="E243" s="59"/>
      <c r="F243" s="59"/>
      <c r="G243" s="33"/>
      <c r="H243" s="33"/>
      <c r="I243" s="33"/>
    </row>
    <row r="244" spans="1:9" x14ac:dyDescent="0.2">
      <c r="A244" s="25" t="s">
        <v>42</v>
      </c>
      <c r="B244" s="41"/>
      <c r="C244" s="53"/>
      <c r="D244" s="53"/>
      <c r="E244" s="53"/>
      <c r="F244" s="83">
        <f>C244-E244</f>
        <v>0</v>
      </c>
      <c r="G244" s="41"/>
      <c r="H244" s="41"/>
      <c r="I244" s="43"/>
    </row>
    <row r="245" spans="1:9" x14ac:dyDescent="0.2">
      <c r="A245" s="150"/>
      <c r="B245" s="164" t="s">
        <v>18</v>
      </c>
      <c r="C245" s="58">
        <v>40000</v>
      </c>
      <c r="D245" s="167" t="s">
        <v>379</v>
      </c>
      <c r="E245" s="151">
        <v>28223.61</v>
      </c>
      <c r="F245" s="83">
        <f>C245-E245</f>
        <v>11776.39</v>
      </c>
      <c r="G245" s="53" t="s">
        <v>439</v>
      </c>
      <c r="H245" s="53" t="s">
        <v>377</v>
      </c>
      <c r="I245" s="43"/>
    </row>
    <row r="246" spans="1:9" x14ac:dyDescent="0.2">
      <c r="A246" s="150"/>
      <c r="B246" s="164"/>
      <c r="C246" s="58"/>
      <c r="D246" s="167"/>
      <c r="E246" s="53"/>
      <c r="F246" s="83">
        <v>-11776.39</v>
      </c>
      <c r="G246" s="53"/>
      <c r="H246" s="53"/>
      <c r="I246" s="144"/>
    </row>
    <row r="247" spans="1:9" x14ac:dyDescent="0.2">
      <c r="A247" s="150"/>
      <c r="B247" s="164" t="s">
        <v>10</v>
      </c>
      <c r="C247" s="58">
        <v>40000</v>
      </c>
      <c r="D247" s="53" t="s">
        <v>378</v>
      </c>
      <c r="E247" s="151">
        <v>40000</v>
      </c>
      <c r="F247" s="83">
        <f>C247-E247</f>
        <v>0</v>
      </c>
      <c r="G247" s="53" t="s">
        <v>413</v>
      </c>
      <c r="H247" s="53" t="s">
        <v>377</v>
      </c>
      <c r="I247" s="144"/>
    </row>
    <row r="248" spans="1:9" x14ac:dyDescent="0.2">
      <c r="A248" s="556"/>
      <c r="B248" s="559" t="s">
        <v>10</v>
      </c>
      <c r="C248" s="562">
        <v>13573</v>
      </c>
      <c r="D248" s="565" t="s">
        <v>463</v>
      </c>
      <c r="E248" s="151">
        <v>6105</v>
      </c>
      <c r="F248" s="83">
        <f>C248-E248</f>
        <v>7468</v>
      </c>
      <c r="G248" s="145" t="s">
        <v>468</v>
      </c>
      <c r="H248" s="559" t="s">
        <v>455</v>
      </c>
      <c r="I248" s="212" t="s">
        <v>111</v>
      </c>
    </row>
    <row r="249" spans="1:9" x14ac:dyDescent="0.2">
      <c r="A249" s="558"/>
      <c r="B249" s="561"/>
      <c r="C249" s="564"/>
      <c r="D249" s="561"/>
      <c r="E249" s="151">
        <v>7468</v>
      </c>
      <c r="F249" s="83">
        <f>C249-E249</f>
        <v>-7468</v>
      </c>
      <c r="G249" s="215" t="s">
        <v>513</v>
      </c>
      <c r="H249" s="561"/>
      <c r="I249" s="213" t="s">
        <v>90</v>
      </c>
    </row>
    <row r="250" spans="1:9" ht="13.5" thickBot="1" x14ac:dyDescent="0.25">
      <c r="A250" s="28" t="s">
        <v>43</v>
      </c>
      <c r="B250" s="29"/>
      <c r="C250" s="56">
        <f>SUM(C244:C249)</f>
        <v>93573</v>
      </c>
      <c r="D250" s="29"/>
      <c r="E250" s="56">
        <f>SUM(E244:E249)</f>
        <v>81796.61</v>
      </c>
      <c r="F250" s="56">
        <f>SUM(F244:F249)</f>
        <v>0</v>
      </c>
      <c r="G250" s="29"/>
      <c r="H250" s="29"/>
      <c r="I250" s="30"/>
    </row>
    <row r="251" spans="1:9" ht="13.5" thickBot="1" x14ac:dyDescent="0.25"/>
    <row r="252" spans="1:9" ht="21" thickBot="1" x14ac:dyDescent="0.35">
      <c r="A252" s="597" t="s">
        <v>217</v>
      </c>
      <c r="B252" s="598"/>
      <c r="C252" s="598"/>
      <c r="D252" s="598"/>
      <c r="E252" s="598"/>
      <c r="F252" s="598"/>
      <c r="G252" s="598"/>
      <c r="H252" s="598"/>
      <c r="I252" s="599"/>
    </row>
    <row r="253" spans="1:9" ht="20.25" x14ac:dyDescent="0.3">
      <c r="A253" s="39"/>
      <c r="B253" s="13" t="s">
        <v>208</v>
      </c>
      <c r="C253" s="13" t="s">
        <v>209</v>
      </c>
      <c r="D253" s="13" t="s">
        <v>210</v>
      </c>
      <c r="E253" s="14"/>
      <c r="F253" s="14"/>
      <c r="G253" s="13"/>
      <c r="H253" s="13"/>
      <c r="I253" s="37"/>
    </row>
    <row r="254" spans="1:9" ht="20.25" x14ac:dyDescent="0.3">
      <c r="A254" s="39" t="s">
        <v>214</v>
      </c>
      <c r="B254" s="18">
        <v>34500</v>
      </c>
      <c r="C254" s="18">
        <v>34500</v>
      </c>
      <c r="D254" s="18">
        <v>70000</v>
      </c>
      <c r="E254" s="155"/>
      <c r="F254" s="14"/>
      <c r="G254" s="13"/>
      <c r="H254" s="13"/>
      <c r="I254" s="37"/>
    </row>
    <row r="255" spans="1:9" ht="20.25" x14ac:dyDescent="0.3">
      <c r="A255" s="39" t="s">
        <v>36</v>
      </c>
      <c r="B255" s="18">
        <f>IF(B288&gt;34500,34500,B288)</f>
        <v>0</v>
      </c>
      <c r="C255" s="18">
        <f>IF(C288&gt;34500,34500,C288)</f>
        <v>34500</v>
      </c>
      <c r="D255" s="18">
        <f>IF(D288&gt;70000,70000,D288)</f>
        <v>253.47</v>
      </c>
      <c r="E255" s="14"/>
      <c r="F255" s="14"/>
      <c r="G255" s="13"/>
      <c r="H255" s="13"/>
      <c r="I255" s="37"/>
    </row>
    <row r="256" spans="1:9" ht="20.25" x14ac:dyDescent="0.3">
      <c r="A256" s="39" t="s">
        <v>211</v>
      </c>
      <c r="B256" s="18">
        <f>SUM(B254:B255)</f>
        <v>34500</v>
      </c>
      <c r="C256" s="18">
        <f>SUM(C254:C255)</f>
        <v>69000</v>
      </c>
      <c r="D256" s="18">
        <f>SUM(D254:D255)</f>
        <v>70253.47</v>
      </c>
      <c r="E256" s="125" t="s">
        <v>107</v>
      </c>
      <c r="F256" s="14"/>
      <c r="G256" s="13"/>
      <c r="H256" s="13"/>
      <c r="I256" s="37"/>
    </row>
    <row r="257" spans="1:9" ht="20.25" x14ac:dyDescent="0.3">
      <c r="A257" s="39" t="s">
        <v>47</v>
      </c>
      <c r="B257" s="18">
        <f>IF(B289&gt;34500,30000,B289)</f>
        <v>0</v>
      </c>
      <c r="C257" s="18">
        <f>IF(C289&gt;34500,34500,C289)</f>
        <v>34500</v>
      </c>
      <c r="D257" s="18">
        <f>IF(D289&gt;70000,70000,D289)</f>
        <v>253.47000000000162</v>
      </c>
      <c r="E257" s="14"/>
      <c r="F257" s="14"/>
      <c r="G257" s="13"/>
      <c r="H257" s="13"/>
      <c r="I257" s="37"/>
    </row>
    <row r="258" spans="1:9" ht="20.25" x14ac:dyDescent="0.3">
      <c r="A258" s="39" t="s">
        <v>45</v>
      </c>
      <c r="B258" s="18">
        <f>B257+B254</f>
        <v>34500</v>
      </c>
      <c r="C258" s="18">
        <f>C257+C254</f>
        <v>69000</v>
      </c>
      <c r="D258" s="18">
        <f>D257+D254</f>
        <v>70253.47</v>
      </c>
      <c r="E258" s="146" t="s">
        <v>108</v>
      </c>
      <c r="F258" s="14"/>
      <c r="G258" s="13"/>
      <c r="H258" s="13"/>
      <c r="I258" s="37"/>
    </row>
    <row r="259" spans="1:9" ht="20.25" x14ac:dyDescent="0.3">
      <c r="A259" s="39" t="s">
        <v>39</v>
      </c>
      <c r="B259" s="18">
        <f>B256-E264</f>
        <v>0</v>
      </c>
      <c r="C259" s="18">
        <f>C256-E267</f>
        <v>69000</v>
      </c>
      <c r="D259" s="18">
        <f>D256-E279</f>
        <v>14215.650000000001</v>
      </c>
      <c r="E259" s="146" t="s">
        <v>109</v>
      </c>
      <c r="F259" s="14"/>
      <c r="G259" s="13"/>
      <c r="H259" s="13"/>
      <c r="I259" s="37"/>
    </row>
    <row r="260" spans="1:9" x14ac:dyDescent="0.2">
      <c r="A260" s="39" t="s">
        <v>35</v>
      </c>
      <c r="B260" s="38">
        <f>B258-E264-F264</f>
        <v>0</v>
      </c>
      <c r="C260" s="38">
        <f>C258-E267-F267</f>
        <v>67454.289999999994</v>
      </c>
      <c r="D260" s="44">
        <f>D258-E279-F279</f>
        <v>11797.11</v>
      </c>
      <c r="E260" s="554" t="s">
        <v>110</v>
      </c>
      <c r="F260" s="555"/>
      <c r="G260" s="555"/>
      <c r="H260" s="555"/>
      <c r="I260" s="141"/>
    </row>
    <row r="261" spans="1:9" ht="21" thickBot="1" x14ac:dyDescent="0.35">
      <c r="A261" s="39"/>
      <c r="B261" s="13"/>
      <c r="C261" s="13"/>
      <c r="D261" s="13"/>
      <c r="E261" s="14"/>
      <c r="F261" s="14"/>
      <c r="G261" s="13"/>
      <c r="H261" s="13"/>
      <c r="I261" s="37"/>
    </row>
    <row r="262" spans="1:9" ht="51" x14ac:dyDescent="0.2">
      <c r="A262" s="19" t="s">
        <v>41</v>
      </c>
      <c r="B262" s="20" t="s">
        <v>34</v>
      </c>
      <c r="C262" s="20" t="s">
        <v>64</v>
      </c>
      <c r="D262" s="20" t="s">
        <v>63</v>
      </c>
      <c r="E262" s="20" t="s">
        <v>37</v>
      </c>
      <c r="F262" s="20" t="s">
        <v>48</v>
      </c>
      <c r="G262" s="20" t="s">
        <v>40</v>
      </c>
      <c r="H262" s="20" t="s">
        <v>38</v>
      </c>
      <c r="I262" s="21" t="s">
        <v>5</v>
      </c>
    </row>
    <row r="263" spans="1:9" x14ac:dyDescent="0.2">
      <c r="A263" s="22" t="s">
        <v>10</v>
      </c>
      <c r="B263" s="23" t="s">
        <v>10</v>
      </c>
      <c r="C263" s="57">
        <v>34500</v>
      </c>
      <c r="D263" s="50">
        <v>42373</v>
      </c>
      <c r="E263" s="57">
        <v>34500</v>
      </c>
      <c r="F263" s="57">
        <f>IF(E263="",C263,0)</f>
        <v>0</v>
      </c>
      <c r="G263" s="23" t="s">
        <v>227</v>
      </c>
      <c r="H263" s="23" t="s">
        <v>228</v>
      </c>
      <c r="I263" s="24"/>
    </row>
    <row r="264" spans="1:9" x14ac:dyDescent="0.2">
      <c r="A264" s="25" t="s">
        <v>43</v>
      </c>
      <c r="B264" s="26"/>
      <c r="C264" s="61">
        <f>C263</f>
        <v>34500</v>
      </c>
      <c r="D264" s="26"/>
      <c r="E264" s="61">
        <f>E263</f>
        <v>34500</v>
      </c>
      <c r="F264" s="61">
        <f>F263</f>
        <v>0</v>
      </c>
      <c r="G264" s="26"/>
      <c r="H264" s="26"/>
      <c r="I264" s="27"/>
    </row>
    <row r="265" spans="1:9" x14ac:dyDescent="0.2">
      <c r="A265" s="33"/>
      <c r="B265" s="33"/>
      <c r="C265" s="59"/>
      <c r="D265" s="33"/>
      <c r="E265" s="59"/>
      <c r="F265" s="59"/>
      <c r="G265" s="33"/>
      <c r="H265" s="33"/>
      <c r="I265" s="33"/>
    </row>
    <row r="266" spans="1:9" x14ac:dyDescent="0.2">
      <c r="A266" s="25" t="s">
        <v>44</v>
      </c>
      <c r="B266" s="26" t="s">
        <v>18</v>
      </c>
      <c r="C266" s="58">
        <v>1545.71</v>
      </c>
      <c r="D266" s="55">
        <v>42818</v>
      </c>
      <c r="E266" s="58"/>
      <c r="F266" s="58">
        <f>IF(E266="",C266,0)</f>
        <v>1545.71</v>
      </c>
      <c r="G266" s="26" t="s">
        <v>398</v>
      </c>
      <c r="H266" s="26" t="s">
        <v>397</v>
      </c>
      <c r="I266" s="80"/>
    </row>
    <row r="267" spans="1:9" x14ac:dyDescent="0.2">
      <c r="A267" s="25" t="s">
        <v>43</v>
      </c>
      <c r="B267" s="26"/>
      <c r="C267" s="60">
        <f>C266</f>
        <v>1545.71</v>
      </c>
      <c r="D267" s="26"/>
      <c r="E267" s="60">
        <f>E266</f>
        <v>0</v>
      </c>
      <c r="F267" s="60">
        <f>F266</f>
        <v>1545.71</v>
      </c>
      <c r="G267" s="26"/>
      <c r="H267" s="26"/>
      <c r="I267" s="27"/>
    </row>
    <row r="268" spans="1:9" x14ac:dyDescent="0.2">
      <c r="A268" s="33"/>
      <c r="B268" s="33"/>
      <c r="C268" s="59"/>
      <c r="D268" s="33"/>
      <c r="E268" s="59"/>
      <c r="F268" s="59"/>
      <c r="G268" s="33"/>
      <c r="H268" s="33"/>
      <c r="I268" s="33"/>
    </row>
    <row r="269" spans="1:9" x14ac:dyDescent="0.2">
      <c r="A269" s="25" t="s">
        <v>42</v>
      </c>
      <c r="B269" s="41"/>
      <c r="C269" s="53"/>
      <c r="D269" s="53"/>
      <c r="E269" s="53"/>
      <c r="F269" s="83">
        <f>C269-E269</f>
        <v>0</v>
      </c>
      <c r="G269" s="41"/>
      <c r="H269" s="41"/>
      <c r="I269" s="43"/>
    </row>
    <row r="270" spans="1:9" x14ac:dyDescent="0.2">
      <c r="A270" s="150"/>
      <c r="B270" s="164" t="s">
        <v>10</v>
      </c>
      <c r="C270" s="58">
        <v>8000</v>
      </c>
      <c r="D270" s="167" t="s">
        <v>282</v>
      </c>
      <c r="E270" s="151">
        <v>5250</v>
      </c>
      <c r="F270" s="83">
        <f>C270-E270</f>
        <v>2750</v>
      </c>
      <c r="G270" s="53" t="s">
        <v>348</v>
      </c>
      <c r="H270" s="53" t="s">
        <v>226</v>
      </c>
      <c r="I270" s="43"/>
    </row>
    <row r="271" spans="1:9" x14ac:dyDescent="0.2">
      <c r="A271" s="150"/>
      <c r="B271" s="164"/>
      <c r="C271" s="58"/>
      <c r="D271" s="167"/>
      <c r="E271" s="53"/>
      <c r="F271" s="83">
        <v>-2750</v>
      </c>
      <c r="G271" s="53"/>
      <c r="H271" s="53"/>
      <c r="I271" s="144"/>
    </row>
    <row r="272" spans="1:9" x14ac:dyDescent="0.2">
      <c r="A272" s="150"/>
      <c r="B272" s="164" t="s">
        <v>18</v>
      </c>
      <c r="C272" s="58">
        <v>8000</v>
      </c>
      <c r="D272" s="53" t="s">
        <v>230</v>
      </c>
      <c r="E272" s="151">
        <v>5581.46</v>
      </c>
      <c r="F272" s="83">
        <f>C272-E272</f>
        <v>2418.54</v>
      </c>
      <c r="G272" s="53" t="s">
        <v>283</v>
      </c>
      <c r="H272" s="53" t="s">
        <v>226</v>
      </c>
      <c r="I272" s="144" t="s">
        <v>281</v>
      </c>
    </row>
    <row r="273" spans="1:9" x14ac:dyDescent="0.2">
      <c r="A273" s="150"/>
      <c r="B273" s="186"/>
      <c r="C273" s="151"/>
      <c r="D273" s="53"/>
      <c r="E273" s="151">
        <v>853.15</v>
      </c>
      <c r="F273" s="83">
        <f>C272-E272-E273</f>
        <v>1565.3899999999999</v>
      </c>
      <c r="G273" s="53" t="s">
        <v>352</v>
      </c>
      <c r="H273" s="53"/>
      <c r="I273" s="144" t="s">
        <v>100</v>
      </c>
    </row>
    <row r="274" spans="1:9" ht="25.5" x14ac:dyDescent="0.2">
      <c r="A274" s="150"/>
      <c r="B274" s="186"/>
      <c r="C274" s="151"/>
      <c r="D274" s="53"/>
      <c r="E274" s="151"/>
      <c r="F274" s="83">
        <v>-1565.39</v>
      </c>
      <c r="G274" s="53"/>
      <c r="H274" s="53"/>
      <c r="I274" s="144" t="s">
        <v>99</v>
      </c>
    </row>
    <row r="275" spans="1:9" ht="13.15" customHeight="1" x14ac:dyDescent="0.2">
      <c r="A275" s="556"/>
      <c r="B275" s="559" t="s">
        <v>10</v>
      </c>
      <c r="C275" s="562">
        <v>25000</v>
      </c>
      <c r="D275" s="565" t="s">
        <v>202</v>
      </c>
      <c r="E275" s="151">
        <v>20451</v>
      </c>
      <c r="F275" s="83"/>
      <c r="G275" s="145" t="s">
        <v>206</v>
      </c>
      <c r="H275" s="559" t="s">
        <v>200</v>
      </c>
      <c r="I275" s="600" t="s">
        <v>243</v>
      </c>
    </row>
    <row r="276" spans="1:9" ht="19.149999999999999" customHeight="1" x14ac:dyDescent="0.2">
      <c r="A276" s="558"/>
      <c r="B276" s="561"/>
      <c r="C276" s="564"/>
      <c r="D276" s="561"/>
      <c r="E276" s="151">
        <v>4549</v>
      </c>
      <c r="F276" s="83"/>
      <c r="G276" s="145" t="s">
        <v>242</v>
      </c>
      <c r="H276" s="561"/>
      <c r="I276" s="601"/>
    </row>
    <row r="277" spans="1:9" ht="18" customHeight="1" x14ac:dyDescent="0.2">
      <c r="A277" s="591"/>
      <c r="B277" s="559" t="s">
        <v>18</v>
      </c>
      <c r="C277" s="562">
        <v>25000</v>
      </c>
      <c r="D277" s="565" t="s">
        <v>203</v>
      </c>
      <c r="E277" s="562">
        <f>41353.21-22000</f>
        <v>19353.21</v>
      </c>
      <c r="F277" s="83">
        <f>C277-E277</f>
        <v>5646.7900000000009</v>
      </c>
      <c r="G277" s="559" t="s">
        <v>262</v>
      </c>
      <c r="H277" s="559" t="s">
        <v>200</v>
      </c>
      <c r="I277" s="160" t="s">
        <v>218</v>
      </c>
    </row>
    <row r="278" spans="1:9" x14ac:dyDescent="0.2">
      <c r="A278" s="592"/>
      <c r="B278" s="561"/>
      <c r="C278" s="564"/>
      <c r="D278" s="561"/>
      <c r="E278" s="564"/>
      <c r="F278" s="83">
        <v>-5646.79</v>
      </c>
      <c r="G278" s="561"/>
      <c r="H278" s="561"/>
      <c r="I278" s="134" t="s">
        <v>99</v>
      </c>
    </row>
    <row r="279" spans="1:9" ht="13.5" thickBot="1" x14ac:dyDescent="0.25">
      <c r="A279" s="28" t="s">
        <v>43</v>
      </c>
      <c r="B279" s="29"/>
      <c r="C279" s="56">
        <f>SUM(C269:C278)</f>
        <v>66000</v>
      </c>
      <c r="D279" s="29"/>
      <c r="E279" s="56">
        <f>SUM(E269:E278)</f>
        <v>56037.82</v>
      </c>
      <c r="F279" s="56">
        <f>SUM(F269:F278)</f>
        <v>2418.5400000000009</v>
      </c>
      <c r="G279" s="29"/>
      <c r="H279" s="29"/>
      <c r="I279" s="30"/>
    </row>
    <row r="280" spans="1:9" ht="13.5" thickBot="1" x14ac:dyDescent="0.25"/>
    <row r="281" spans="1:9" ht="21" thickBot="1" x14ac:dyDescent="0.35">
      <c r="A281" s="597" t="s">
        <v>127</v>
      </c>
      <c r="B281" s="598"/>
      <c r="C281" s="598"/>
      <c r="D281" s="598"/>
      <c r="E281" s="598"/>
      <c r="F281" s="598"/>
      <c r="G281" s="598"/>
      <c r="H281" s="598"/>
      <c r="I281" s="599"/>
    </row>
    <row r="282" spans="1:9" ht="20.25" x14ac:dyDescent="0.3">
      <c r="A282" s="39"/>
      <c r="B282" s="13" t="s">
        <v>118</v>
      </c>
      <c r="C282" s="13" t="s">
        <v>119</v>
      </c>
      <c r="D282" s="13" t="s">
        <v>120</v>
      </c>
      <c r="E282" s="14"/>
      <c r="F282" s="14"/>
      <c r="G282" s="13"/>
      <c r="H282" s="13"/>
      <c r="I282" s="37"/>
    </row>
    <row r="283" spans="1:9" ht="20.25" x14ac:dyDescent="0.3">
      <c r="A283" s="39" t="s">
        <v>124</v>
      </c>
      <c r="B283" s="18">
        <v>34500</v>
      </c>
      <c r="C283" s="18">
        <v>34500</v>
      </c>
      <c r="D283" s="18">
        <v>70000</v>
      </c>
      <c r="E283" s="155" t="s">
        <v>191</v>
      </c>
      <c r="F283" s="14"/>
      <c r="G283" s="13"/>
      <c r="H283" s="13"/>
      <c r="I283" s="37"/>
    </row>
    <row r="284" spans="1:9" ht="20.25" x14ac:dyDescent="0.3">
      <c r="A284" s="39" t="s">
        <v>36</v>
      </c>
      <c r="B284" s="18">
        <v>0</v>
      </c>
      <c r="C284" s="18">
        <v>34500</v>
      </c>
      <c r="D284" s="18">
        <v>4143.08</v>
      </c>
      <c r="E284" s="14"/>
      <c r="F284" s="14"/>
      <c r="G284" s="13"/>
      <c r="H284" s="13"/>
      <c r="I284" s="37"/>
    </row>
    <row r="285" spans="1:9" ht="20.25" x14ac:dyDescent="0.3">
      <c r="A285" s="39" t="s">
        <v>121</v>
      </c>
      <c r="B285" s="18">
        <f>SUM(B283:B284)</f>
        <v>34500</v>
      </c>
      <c r="C285" s="18">
        <f>SUM(C283:C284)</f>
        <v>69000</v>
      </c>
      <c r="D285" s="18">
        <f>SUM(D283:D284)</f>
        <v>74143.08</v>
      </c>
      <c r="E285" s="125" t="s">
        <v>107</v>
      </c>
      <c r="F285" s="14"/>
      <c r="G285" s="13"/>
      <c r="H285" s="13"/>
      <c r="I285" s="37"/>
    </row>
    <row r="286" spans="1:9" ht="20.25" x14ac:dyDescent="0.3">
      <c r="A286" s="39" t="s">
        <v>47</v>
      </c>
      <c r="B286" s="18">
        <v>0</v>
      </c>
      <c r="C286" s="18">
        <v>34500</v>
      </c>
      <c r="D286" s="18">
        <v>4143.08</v>
      </c>
      <c r="E286" s="14"/>
      <c r="F286" s="14"/>
      <c r="G286" s="13"/>
      <c r="H286" s="13"/>
      <c r="I286" s="37"/>
    </row>
    <row r="287" spans="1:9" ht="20.25" x14ac:dyDescent="0.3">
      <c r="A287" s="39" t="s">
        <v>45</v>
      </c>
      <c r="B287" s="18">
        <f>B286+B283</f>
        <v>34500</v>
      </c>
      <c r="C287" s="18">
        <f>C286+C283</f>
        <v>69000</v>
      </c>
      <c r="D287" s="18">
        <f>D286+D283</f>
        <v>74143.08</v>
      </c>
      <c r="E287" s="146" t="s">
        <v>108</v>
      </c>
      <c r="F287" s="14"/>
      <c r="G287" s="13"/>
      <c r="H287" s="13"/>
      <c r="I287" s="37"/>
    </row>
    <row r="288" spans="1:9" ht="20.25" x14ac:dyDescent="0.3">
      <c r="A288" s="39" t="s">
        <v>39</v>
      </c>
      <c r="B288" s="18">
        <f>B285-E293</f>
        <v>0</v>
      </c>
      <c r="C288" s="18">
        <f>C285-E296</f>
        <v>67273.94</v>
      </c>
      <c r="D288" s="18">
        <v>253.47</v>
      </c>
      <c r="E288" s="146" t="s">
        <v>109</v>
      </c>
      <c r="F288" s="14"/>
      <c r="G288" s="13"/>
      <c r="H288" s="13"/>
      <c r="I288" s="37"/>
    </row>
    <row r="289" spans="1:9" x14ac:dyDescent="0.2">
      <c r="A289" s="39" t="s">
        <v>35</v>
      </c>
      <c r="B289" s="38">
        <f>B287-E293-F293</f>
        <v>0</v>
      </c>
      <c r="C289" s="38">
        <f>C287-E296-F296</f>
        <v>67273.94</v>
      </c>
      <c r="D289" s="44">
        <f>D287-E304-F304</f>
        <v>253.47000000000162</v>
      </c>
      <c r="E289" s="554" t="s">
        <v>110</v>
      </c>
      <c r="F289" s="555"/>
      <c r="G289" s="555"/>
      <c r="H289" s="555"/>
      <c r="I289" s="141"/>
    </row>
    <row r="290" spans="1:9" ht="21" thickBot="1" x14ac:dyDescent="0.35">
      <c r="A290" s="39"/>
      <c r="B290" s="13"/>
      <c r="C290" s="13"/>
      <c r="D290" s="13"/>
      <c r="E290" s="14"/>
      <c r="F290" s="14"/>
      <c r="G290" s="13"/>
      <c r="H290" s="13"/>
      <c r="I290" s="37"/>
    </row>
    <row r="291" spans="1:9" ht="51" x14ac:dyDescent="0.2">
      <c r="A291" s="19" t="s">
        <v>41</v>
      </c>
      <c r="B291" s="20" t="s">
        <v>34</v>
      </c>
      <c r="C291" s="20" t="s">
        <v>64</v>
      </c>
      <c r="D291" s="20" t="s">
        <v>63</v>
      </c>
      <c r="E291" s="20" t="s">
        <v>37</v>
      </c>
      <c r="F291" s="20" t="s">
        <v>48</v>
      </c>
      <c r="G291" s="20" t="s">
        <v>40</v>
      </c>
      <c r="H291" s="20" t="s">
        <v>38</v>
      </c>
      <c r="I291" s="21" t="s">
        <v>5</v>
      </c>
    </row>
    <row r="292" spans="1:9" x14ac:dyDescent="0.2">
      <c r="A292" s="22" t="s">
        <v>10</v>
      </c>
      <c r="B292" s="23" t="s">
        <v>10</v>
      </c>
      <c r="C292" s="57">
        <v>34500</v>
      </c>
      <c r="D292" s="50">
        <v>42006</v>
      </c>
      <c r="E292" s="57">
        <v>34500</v>
      </c>
      <c r="F292" s="57">
        <f>IF(E292="",C292,0)</f>
        <v>0</v>
      </c>
      <c r="G292" s="23" t="s">
        <v>175</v>
      </c>
      <c r="H292" s="23" t="s">
        <v>136</v>
      </c>
      <c r="I292" s="24"/>
    </row>
    <row r="293" spans="1:9" x14ac:dyDescent="0.2">
      <c r="A293" s="25" t="s">
        <v>43</v>
      </c>
      <c r="B293" s="26"/>
      <c r="C293" s="61">
        <f>C292</f>
        <v>34500</v>
      </c>
      <c r="D293" s="26"/>
      <c r="E293" s="61">
        <f>E292</f>
        <v>34500</v>
      </c>
      <c r="F293" s="61">
        <f>F292</f>
        <v>0</v>
      </c>
      <c r="G293" s="26"/>
      <c r="H293" s="26"/>
      <c r="I293" s="27"/>
    </row>
    <row r="294" spans="1:9" x14ac:dyDescent="0.2">
      <c r="A294" s="33"/>
      <c r="B294" s="33"/>
      <c r="C294" s="59"/>
      <c r="D294" s="33"/>
      <c r="E294" s="59"/>
      <c r="F294" s="59"/>
      <c r="G294" s="33"/>
      <c r="H294" s="33"/>
      <c r="I294" s="33"/>
    </row>
    <row r="295" spans="1:9" x14ac:dyDescent="0.2">
      <c r="A295" s="25" t="s">
        <v>44</v>
      </c>
      <c r="B295" s="26" t="s">
        <v>18</v>
      </c>
      <c r="C295" s="58">
        <v>1726.03</v>
      </c>
      <c r="D295" s="55">
        <v>42425</v>
      </c>
      <c r="E295" s="58">
        <v>1726.06</v>
      </c>
      <c r="F295" s="58">
        <f>IF(E295="",C295,0)</f>
        <v>0</v>
      </c>
      <c r="G295" s="26" t="s">
        <v>258</v>
      </c>
      <c r="H295" s="26" t="s">
        <v>255</v>
      </c>
      <c r="I295" s="80"/>
    </row>
    <row r="296" spans="1:9" x14ac:dyDescent="0.2">
      <c r="A296" s="25" t="s">
        <v>43</v>
      </c>
      <c r="B296" s="26"/>
      <c r="C296" s="60">
        <f>C295</f>
        <v>1726.03</v>
      </c>
      <c r="D296" s="26"/>
      <c r="E296" s="60">
        <f>E295</f>
        <v>1726.06</v>
      </c>
      <c r="F296" s="60">
        <f>F295</f>
        <v>0</v>
      </c>
      <c r="G296" s="26"/>
      <c r="H296" s="26"/>
      <c r="I296" s="27"/>
    </row>
    <row r="297" spans="1:9" x14ac:dyDescent="0.2">
      <c r="A297" s="33"/>
      <c r="B297" s="33"/>
      <c r="C297" s="59"/>
      <c r="D297" s="33"/>
      <c r="E297" s="59"/>
      <c r="F297" s="59"/>
      <c r="G297" s="33"/>
      <c r="H297" s="33"/>
      <c r="I297" s="33"/>
    </row>
    <row r="298" spans="1:9" x14ac:dyDescent="0.2">
      <c r="A298" s="25" t="s">
        <v>42</v>
      </c>
      <c r="B298" s="41" t="s">
        <v>10</v>
      </c>
      <c r="C298" s="63">
        <v>17250</v>
      </c>
      <c r="D298" s="118" t="s">
        <v>115</v>
      </c>
      <c r="E298" s="63">
        <v>17250</v>
      </c>
      <c r="F298" s="83">
        <f>C298-E298</f>
        <v>0</v>
      </c>
      <c r="G298" s="41" t="s">
        <v>160</v>
      </c>
      <c r="H298" s="41" t="s">
        <v>114</v>
      </c>
      <c r="I298" s="43"/>
    </row>
    <row r="299" spans="1:9" x14ac:dyDescent="0.2">
      <c r="A299" s="150"/>
      <c r="B299" s="559" t="s">
        <v>18</v>
      </c>
      <c r="C299" s="562">
        <v>17250</v>
      </c>
      <c r="D299" s="565" t="s">
        <v>115</v>
      </c>
      <c r="E299" s="562">
        <v>14839.61</v>
      </c>
      <c r="F299" s="83">
        <f>C299-E299</f>
        <v>2410.3899999999994</v>
      </c>
      <c r="G299" s="559" t="s">
        <v>161</v>
      </c>
      <c r="H299" s="559" t="s">
        <v>114</v>
      </c>
      <c r="I299" s="43"/>
    </row>
    <row r="300" spans="1:9" x14ac:dyDescent="0.2">
      <c r="A300" s="150"/>
      <c r="B300" s="561"/>
      <c r="C300" s="564"/>
      <c r="D300" s="561"/>
      <c r="E300" s="564"/>
      <c r="F300" s="83">
        <v>-2410.39</v>
      </c>
      <c r="G300" s="561"/>
      <c r="H300" s="572"/>
      <c r="I300" s="144" t="s">
        <v>158</v>
      </c>
    </row>
    <row r="301" spans="1:9" ht="45" x14ac:dyDescent="0.2">
      <c r="A301" s="150"/>
      <c r="B301" s="145" t="s">
        <v>10</v>
      </c>
      <c r="C301" s="151">
        <v>19800</v>
      </c>
      <c r="D301" s="53" t="s">
        <v>202</v>
      </c>
      <c r="E301" s="151">
        <v>19800</v>
      </c>
      <c r="F301" s="83">
        <f>C301-E301</f>
        <v>0</v>
      </c>
      <c r="G301" s="145" t="s">
        <v>206</v>
      </c>
      <c r="H301" s="145" t="s">
        <v>200</v>
      </c>
      <c r="I301" s="161" t="s">
        <v>204</v>
      </c>
    </row>
    <row r="302" spans="1:9" ht="25.5" x14ac:dyDescent="0.2">
      <c r="A302" s="150"/>
      <c r="B302" s="145" t="s">
        <v>18</v>
      </c>
      <c r="C302" s="151">
        <v>22000</v>
      </c>
      <c r="D302" s="53" t="s">
        <v>203</v>
      </c>
      <c r="E302" s="151">
        <v>22000</v>
      </c>
      <c r="F302" s="83">
        <v>0</v>
      </c>
      <c r="G302" s="145" t="s">
        <v>262</v>
      </c>
      <c r="H302" s="145" t="s">
        <v>200</v>
      </c>
      <c r="I302" s="160" t="s">
        <v>201</v>
      </c>
    </row>
    <row r="303" spans="1:9" x14ac:dyDescent="0.2">
      <c r="A303" s="150"/>
      <c r="B303" s="145"/>
      <c r="C303" s="151"/>
      <c r="D303" s="53"/>
      <c r="E303" s="151"/>
      <c r="F303" s="83">
        <f>C303-E303</f>
        <v>0</v>
      </c>
      <c r="G303" s="145"/>
      <c r="H303" s="145"/>
      <c r="I303" s="144"/>
    </row>
    <row r="304" spans="1:9" ht="13.5" thickBot="1" x14ac:dyDescent="0.25">
      <c r="A304" s="28" t="s">
        <v>43</v>
      </c>
      <c r="B304" s="29"/>
      <c r="C304" s="56">
        <f>SUM(C298:C303)</f>
        <v>76300</v>
      </c>
      <c r="D304" s="29"/>
      <c r="E304" s="56">
        <f>SUM(E298:E303)</f>
        <v>73889.61</v>
      </c>
      <c r="F304" s="56">
        <f>SUM(F298:F303)</f>
        <v>-4.5474735088646412E-13</v>
      </c>
      <c r="G304" s="29"/>
      <c r="H304" s="29"/>
      <c r="I304" s="30"/>
    </row>
    <row r="306" spans="1:14" ht="18.75" customHeight="1" x14ac:dyDescent="0.3">
      <c r="A306" s="11"/>
      <c r="B306" s="11"/>
      <c r="C306" s="11"/>
      <c r="D306" s="11"/>
      <c r="E306" s="11"/>
      <c r="F306" s="11"/>
      <c r="G306" s="11"/>
      <c r="H306" s="11"/>
      <c r="I306" s="11"/>
      <c r="K306" s="9"/>
      <c r="L306" s="9"/>
      <c r="M306" s="9"/>
      <c r="N306" s="9"/>
    </row>
  </sheetData>
  <mergeCells count="44">
    <mergeCell ref="C248:C249"/>
    <mergeCell ref="D248:D249"/>
    <mergeCell ref="A147:I147"/>
    <mergeCell ref="E155:H155"/>
    <mergeCell ref="A2:I2"/>
    <mergeCell ref="E104:H104"/>
    <mergeCell ref="A96:I96"/>
    <mergeCell ref="E210:H210"/>
    <mergeCell ref="G140:G142"/>
    <mergeCell ref="A122:I122"/>
    <mergeCell ref="E130:H130"/>
    <mergeCell ref="A33:I33"/>
    <mergeCell ref="A64:I64"/>
    <mergeCell ref="H275:H276"/>
    <mergeCell ref="C275:C276"/>
    <mergeCell ref="D275:D276"/>
    <mergeCell ref="A176:I176"/>
    <mergeCell ref="E184:H184"/>
    <mergeCell ref="A252:I252"/>
    <mergeCell ref="E260:H260"/>
    <mergeCell ref="I275:I276"/>
    <mergeCell ref="A227:I227"/>
    <mergeCell ref="E235:H235"/>
    <mergeCell ref="H248:H249"/>
    <mergeCell ref="A275:A276"/>
    <mergeCell ref="B275:B276"/>
    <mergeCell ref="A202:I202"/>
    <mergeCell ref="A248:A249"/>
    <mergeCell ref="B248:B249"/>
    <mergeCell ref="B299:B300"/>
    <mergeCell ref="C299:C300"/>
    <mergeCell ref="B277:B278"/>
    <mergeCell ref="A281:I281"/>
    <mergeCell ref="E289:H289"/>
    <mergeCell ref="E299:E300"/>
    <mergeCell ref="D299:D300"/>
    <mergeCell ref="C277:C278"/>
    <mergeCell ref="A277:A278"/>
    <mergeCell ref="D277:D278"/>
    <mergeCell ref="E277:E278"/>
    <mergeCell ref="G277:G278"/>
    <mergeCell ref="H277:H278"/>
    <mergeCell ref="H299:H300"/>
    <mergeCell ref="G299:G300"/>
  </mergeCells>
  <phoneticPr fontId="7" type="noConversion"/>
  <hyperlinks>
    <hyperlink ref="G47" r:id="rId1" xr:uid="{C2FA1F80-DD98-4E32-AF9D-6A0AEF1BA33F}"/>
    <hyperlink ref="G52" r:id="rId2" xr:uid="{A3650317-DCD8-4257-B9EB-1101F43E8F3F}"/>
    <hyperlink ref="D54" r:id="rId3" xr:uid="{0CEB6867-21AD-4EDE-BA10-8754D217E453}"/>
    <hyperlink ref="G13" r:id="rId4" xr:uid="{15750242-41ED-4EE0-9619-03DC3D69D53D}"/>
    <hyperlink ref="D16" r:id="rId5" xr:uid="{5210F83D-4915-4BE1-A2DF-E4C33A660804}"/>
    <hyperlink ref="D53" r:id="rId6" xr:uid="{AF336EE5-4E6A-4296-B3DE-EE2F4C429723}"/>
    <hyperlink ref="G54" r:id="rId7" xr:uid="{AAF3C4E3-FB77-4823-B5B0-A99D9DD238C4}"/>
    <hyperlink ref="D20" r:id="rId8" xr:uid="{099EC56F-FC09-408F-90DD-BD54C61B8F5A}"/>
  </hyperlinks>
  <pageMargins left="0.69" right="0.28999999999999998" top="0.48" bottom="0.44" header="0.5" footer="0.5"/>
  <pageSetup scale="68" orientation="landscape" r:id="rId9"/>
  <headerFooter alignWithMargins="0">
    <oddFooter>&amp;CCurrent as of &amp;D</oddFooter>
  </headerFooter>
  <rowBreaks count="4" manualBreakCount="4">
    <brk id="200" max="16383" man="1"/>
    <brk id="226" max="16383" man="1"/>
    <brk id="250" max="16383" man="1"/>
    <brk id="280" max="16383" man="1"/>
  </rowBreaks>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38"/>
  <sheetViews>
    <sheetView topLeftCell="A83" zoomScale="105" zoomScaleNormal="105" zoomScaleSheetLayoutView="75" workbookViewId="0">
      <selection activeCell="A101" sqref="A101:XFD236"/>
    </sheetView>
  </sheetViews>
  <sheetFormatPr defaultRowHeight="12.75" x14ac:dyDescent="0.2"/>
  <cols>
    <col min="1" max="1" width="22.28515625" bestFit="1" customWidth="1"/>
    <col min="2" max="2" width="10.85546875" bestFit="1" customWidth="1"/>
    <col min="3" max="3" width="17" customWidth="1"/>
    <col min="4" max="4" width="12.85546875" customWidth="1"/>
    <col min="5" max="5" width="17.7109375" bestFit="1" customWidth="1"/>
    <col min="6" max="6" width="15.85546875" customWidth="1"/>
    <col min="7" max="7" width="14.28515625" customWidth="1"/>
    <col min="8" max="8" width="14.7109375" customWidth="1"/>
    <col min="9" max="9" width="16.28515625" customWidth="1"/>
    <col min="10" max="10" width="23" customWidth="1"/>
  </cols>
  <sheetData>
    <row r="1" spans="1:9" ht="21" thickBot="1" x14ac:dyDescent="0.25">
      <c r="A1" s="550" t="s">
        <v>1237</v>
      </c>
      <c r="B1" s="551"/>
      <c r="C1" s="551"/>
      <c r="D1" s="551"/>
      <c r="E1" s="551"/>
      <c r="F1" s="551"/>
      <c r="G1" s="551"/>
      <c r="H1" s="551"/>
      <c r="I1" s="552"/>
    </row>
    <row r="2" spans="1:9" ht="20.25" x14ac:dyDescent="0.3">
      <c r="A2" s="39"/>
      <c r="B2" s="13" t="s">
        <v>1245</v>
      </c>
      <c r="C2" s="13" t="s">
        <v>1247</v>
      </c>
      <c r="D2" s="13"/>
      <c r="E2" s="14"/>
      <c r="F2" s="14"/>
      <c r="G2" s="13"/>
      <c r="H2" s="13"/>
      <c r="I2" s="37"/>
    </row>
    <row r="3" spans="1:9" ht="20.25" x14ac:dyDescent="0.3">
      <c r="A3" s="39" t="s">
        <v>991</v>
      </c>
      <c r="B3" s="18">
        <v>33000</v>
      </c>
      <c r="C3" s="18">
        <v>31500</v>
      </c>
      <c r="D3" s="18"/>
      <c r="E3" s="14"/>
      <c r="F3" s="14"/>
      <c r="G3" s="13"/>
      <c r="H3" s="13"/>
      <c r="I3" s="37"/>
    </row>
    <row r="4" spans="1:9" ht="20.25" x14ac:dyDescent="0.3">
      <c r="A4" s="39" t="s">
        <v>36</v>
      </c>
      <c r="B4" s="18">
        <f>IF(B28&gt;B3,B3,B28)</f>
        <v>0</v>
      </c>
      <c r="C4" s="18">
        <f>IF(C25&gt;C3,C3,C25)</f>
        <v>31500</v>
      </c>
      <c r="D4" s="18"/>
      <c r="E4" s="14"/>
      <c r="F4" s="14"/>
      <c r="G4" s="13"/>
      <c r="H4" s="13"/>
      <c r="I4" s="37"/>
    </row>
    <row r="5" spans="1:9" ht="20.25" x14ac:dyDescent="0.3">
      <c r="A5" s="39" t="s">
        <v>992</v>
      </c>
      <c r="B5" s="18">
        <f>B3+B4</f>
        <v>33000</v>
      </c>
      <c r="C5" s="18">
        <f>SUM(C3:C4)</f>
        <v>63000</v>
      </c>
      <c r="D5" s="125" t="s">
        <v>107</v>
      </c>
      <c r="E5" s="14"/>
      <c r="F5" s="14"/>
      <c r="G5" s="13"/>
      <c r="H5" s="13"/>
      <c r="I5" s="37"/>
    </row>
    <row r="6" spans="1:9" ht="20.25" x14ac:dyDescent="0.3">
      <c r="A6" s="39" t="s">
        <v>47</v>
      </c>
      <c r="B6" s="18">
        <f>B26</f>
        <v>0</v>
      </c>
      <c r="C6" s="18">
        <f>IF(C26&gt;C3,C3,C26)</f>
        <v>31500</v>
      </c>
      <c r="D6" s="18"/>
      <c r="E6" s="14"/>
      <c r="F6" s="14"/>
      <c r="G6" s="13"/>
      <c r="H6" s="13"/>
      <c r="I6" s="37"/>
    </row>
    <row r="7" spans="1:9" ht="20.25" x14ac:dyDescent="0.3">
      <c r="A7" s="39" t="s">
        <v>479</v>
      </c>
      <c r="B7" s="18">
        <f>B6+B3</f>
        <v>33000</v>
      </c>
      <c r="C7" s="18">
        <f>C6+C3</f>
        <v>63000</v>
      </c>
      <c r="D7" s="146" t="s">
        <v>108</v>
      </c>
      <c r="E7" s="14"/>
      <c r="F7" s="14"/>
      <c r="G7" s="13"/>
      <c r="H7" s="13"/>
      <c r="I7" s="37"/>
    </row>
    <row r="8" spans="1:9" ht="20.25" x14ac:dyDescent="0.3">
      <c r="A8" s="39" t="s">
        <v>39</v>
      </c>
      <c r="B8" s="18">
        <f>B5-E13</f>
        <v>0</v>
      </c>
      <c r="C8" s="18">
        <f>C5-E19</f>
        <v>63000</v>
      </c>
      <c r="D8" s="146" t="s">
        <v>109</v>
      </c>
      <c r="E8" s="14"/>
      <c r="F8" s="14"/>
      <c r="G8" s="13"/>
      <c r="H8" s="13"/>
      <c r="I8" s="37"/>
    </row>
    <row r="9" spans="1:9" x14ac:dyDescent="0.2">
      <c r="A9" s="39" t="s">
        <v>799</v>
      </c>
      <c r="B9" s="38">
        <f>B7-E13-F13</f>
        <v>0</v>
      </c>
      <c r="C9" s="44">
        <f>C7-E19-F19</f>
        <v>63000</v>
      </c>
      <c r="D9" s="554" t="s">
        <v>110</v>
      </c>
      <c r="E9" s="555"/>
      <c r="F9" s="555"/>
      <c r="G9" s="555"/>
      <c r="H9" s="13"/>
      <c r="I9" s="37"/>
    </row>
    <row r="10" spans="1:9" ht="21" thickBot="1" x14ac:dyDescent="0.35">
      <c r="A10" s="39"/>
      <c r="B10" s="13"/>
      <c r="C10" s="13"/>
      <c r="D10" s="13"/>
      <c r="E10" s="14"/>
      <c r="F10" s="14"/>
      <c r="G10" s="13"/>
      <c r="H10" s="13"/>
      <c r="I10" s="37"/>
    </row>
    <row r="11" spans="1:9" ht="51" x14ac:dyDescent="0.2">
      <c r="A11" s="19" t="s">
        <v>41</v>
      </c>
      <c r="B11" s="20" t="s">
        <v>34</v>
      </c>
      <c r="C11" s="20" t="s">
        <v>64</v>
      </c>
      <c r="D11" s="20" t="s">
        <v>63</v>
      </c>
      <c r="E11" s="20" t="s">
        <v>37</v>
      </c>
      <c r="F11" s="20" t="s">
        <v>48</v>
      </c>
      <c r="G11" s="20" t="s">
        <v>40</v>
      </c>
      <c r="H11" s="20" t="s">
        <v>38</v>
      </c>
      <c r="I11" s="21" t="s">
        <v>5</v>
      </c>
    </row>
    <row r="12" spans="1:9" x14ac:dyDescent="0.2">
      <c r="A12" s="22" t="s">
        <v>10</v>
      </c>
      <c r="B12" s="23"/>
      <c r="C12" s="57">
        <v>33000</v>
      </c>
      <c r="D12" s="50"/>
      <c r="E12" s="57">
        <v>33000</v>
      </c>
      <c r="F12" s="57"/>
      <c r="G12" s="485" t="s">
        <v>1241</v>
      </c>
      <c r="H12" s="23"/>
      <c r="I12" s="24"/>
    </row>
    <row r="13" spans="1:9" x14ac:dyDescent="0.2">
      <c r="A13" s="25" t="s">
        <v>43</v>
      </c>
      <c r="B13" s="26"/>
      <c r="C13" s="61">
        <f>C12</f>
        <v>33000</v>
      </c>
      <c r="D13" s="26"/>
      <c r="E13" s="61">
        <f>E12</f>
        <v>33000</v>
      </c>
      <c r="F13" s="61">
        <f>F12</f>
        <v>0</v>
      </c>
      <c r="G13" s="26"/>
      <c r="H13" s="26"/>
      <c r="I13" s="27"/>
    </row>
    <row r="14" spans="1:9" x14ac:dyDescent="0.2">
      <c r="A14" s="33"/>
      <c r="B14" s="33"/>
      <c r="C14" s="59"/>
      <c r="D14" s="33"/>
      <c r="E14" s="59"/>
      <c r="F14" s="59"/>
      <c r="G14" s="33"/>
      <c r="H14" s="33"/>
      <c r="I14" s="33"/>
    </row>
    <row r="15" spans="1:9" x14ac:dyDescent="0.2">
      <c r="A15" s="25" t="s">
        <v>42</v>
      </c>
      <c r="B15" s="138"/>
      <c r="C15" s="142"/>
      <c r="D15" s="136"/>
      <c r="E15" s="58"/>
      <c r="F15" s="83"/>
      <c r="G15" s="138"/>
      <c r="H15" s="135"/>
      <c r="I15" s="43"/>
    </row>
    <row r="16" spans="1:9" x14ac:dyDescent="0.2">
      <c r="A16" s="150"/>
      <c r="B16" s="135"/>
      <c r="C16" s="142"/>
      <c r="D16" s="136"/>
      <c r="E16" s="151"/>
      <c r="F16" s="82"/>
      <c r="G16" s="604"/>
      <c r="H16" s="135"/>
      <c r="I16" s="144"/>
    </row>
    <row r="17" spans="1:9" x14ac:dyDescent="0.2">
      <c r="A17" s="150"/>
      <c r="B17" s="243"/>
      <c r="C17" s="142"/>
      <c r="D17" s="245"/>
      <c r="E17" s="151"/>
      <c r="F17" s="82"/>
      <c r="G17" s="605"/>
      <c r="H17" s="243"/>
      <c r="I17" s="144"/>
    </row>
    <row r="18" spans="1:9" x14ac:dyDescent="0.2">
      <c r="A18" s="150"/>
      <c r="B18" s="11"/>
      <c r="C18" s="142"/>
      <c r="D18" s="12"/>
      <c r="E18" s="82"/>
      <c r="F18" s="82"/>
      <c r="H18" s="11"/>
      <c r="I18" s="144"/>
    </row>
    <row r="19" spans="1:9" ht="13.5" thickBot="1" x14ac:dyDescent="0.25">
      <c r="A19" s="28" t="s">
        <v>43</v>
      </c>
      <c r="B19" s="29"/>
      <c r="C19" s="56">
        <f>SUM(C16:C18)</f>
        <v>0</v>
      </c>
      <c r="D19" s="29"/>
      <c r="E19" s="56">
        <f>SUM(E15:E18)</f>
        <v>0</v>
      </c>
      <c r="F19" s="56">
        <f>SUM(F15:F18)</f>
        <v>0</v>
      </c>
      <c r="G19" s="29"/>
      <c r="H19" s="29"/>
      <c r="I19" s="30"/>
    </row>
    <row r="20" spans="1:9" ht="13.5" thickBot="1" x14ac:dyDescent="0.25"/>
    <row r="21" spans="1:9" ht="21" thickBot="1" x14ac:dyDescent="0.25">
      <c r="A21" s="550" t="s">
        <v>1147</v>
      </c>
      <c r="B21" s="551"/>
      <c r="C21" s="551"/>
      <c r="D21" s="551"/>
      <c r="E21" s="551"/>
      <c r="F21" s="551"/>
      <c r="G21" s="551"/>
      <c r="H21" s="551"/>
      <c r="I21" s="552"/>
    </row>
    <row r="22" spans="1:9" ht="20.25" x14ac:dyDescent="0.3">
      <c r="A22" s="39"/>
      <c r="B22" s="13" t="s">
        <v>1138</v>
      </c>
      <c r="C22" s="13" t="s">
        <v>1140</v>
      </c>
      <c r="D22" s="13"/>
      <c r="E22" s="14"/>
      <c r="F22" s="14"/>
      <c r="G22" s="13"/>
      <c r="H22" s="13"/>
      <c r="I22" s="37"/>
    </row>
    <row r="23" spans="1:9" ht="20.25" x14ac:dyDescent="0.3">
      <c r="A23" s="39" t="s">
        <v>991</v>
      </c>
      <c r="B23" s="18">
        <v>33000</v>
      </c>
      <c r="C23" s="18">
        <v>31500</v>
      </c>
      <c r="D23" s="18"/>
      <c r="E23" s="14"/>
      <c r="F23" s="14"/>
      <c r="G23" s="13"/>
      <c r="H23" s="13"/>
      <c r="I23" s="37"/>
    </row>
    <row r="24" spans="1:9" ht="20.25" x14ac:dyDescent="0.3">
      <c r="A24" s="39" t="s">
        <v>36</v>
      </c>
      <c r="B24" s="18">
        <f>IF(B48&gt;B23,B23,B48)</f>
        <v>0</v>
      </c>
      <c r="C24" s="18">
        <f>IF(C45&gt;C23,C23,C45)</f>
        <v>31500</v>
      </c>
      <c r="D24" s="18"/>
      <c r="E24" s="14"/>
      <c r="F24" s="14"/>
      <c r="G24" s="13"/>
      <c r="H24" s="13"/>
      <c r="I24" s="37"/>
    </row>
    <row r="25" spans="1:9" ht="20.25" x14ac:dyDescent="0.3">
      <c r="A25" s="39" t="s">
        <v>992</v>
      </c>
      <c r="B25" s="18">
        <f>B23+B24</f>
        <v>33000</v>
      </c>
      <c r="C25" s="18">
        <f>SUM(C23:C24)</f>
        <v>63000</v>
      </c>
      <c r="D25" s="125" t="s">
        <v>107</v>
      </c>
      <c r="E25" s="14"/>
      <c r="F25" s="14"/>
      <c r="G25" s="13"/>
      <c r="H25" s="13"/>
      <c r="I25" s="37"/>
    </row>
    <row r="26" spans="1:9" ht="20.25" x14ac:dyDescent="0.3">
      <c r="A26" s="39" t="s">
        <v>47</v>
      </c>
      <c r="B26" s="18">
        <f>B46</f>
        <v>0</v>
      </c>
      <c r="C26" s="18">
        <f>IF(C46&gt;C23,C23,C46)</f>
        <v>31500</v>
      </c>
      <c r="D26" s="18"/>
      <c r="E26" s="14"/>
      <c r="F26" s="14"/>
      <c r="G26" s="13"/>
      <c r="H26" s="13"/>
      <c r="I26" s="37"/>
    </row>
    <row r="27" spans="1:9" ht="20.25" x14ac:dyDescent="0.3">
      <c r="A27" s="39" t="s">
        <v>479</v>
      </c>
      <c r="B27" s="18">
        <f>B26+B23</f>
        <v>33000</v>
      </c>
      <c r="C27" s="18">
        <f>C26+C23</f>
        <v>63000</v>
      </c>
      <c r="D27" s="146" t="s">
        <v>108</v>
      </c>
      <c r="E27" s="14"/>
      <c r="F27" s="14"/>
      <c r="G27" s="13"/>
      <c r="H27" s="13"/>
      <c r="I27" s="37"/>
    </row>
    <row r="28" spans="1:9" ht="20.25" x14ac:dyDescent="0.3">
      <c r="A28" s="39" t="s">
        <v>39</v>
      </c>
      <c r="B28" s="18">
        <f>B25-E33</f>
        <v>0</v>
      </c>
      <c r="C28" s="18">
        <f>C25-E39</f>
        <v>0</v>
      </c>
      <c r="D28" s="146" t="s">
        <v>109</v>
      </c>
      <c r="E28" s="14"/>
      <c r="F28" s="14"/>
      <c r="G28" s="13"/>
      <c r="H28" s="13"/>
      <c r="I28" s="37"/>
    </row>
    <row r="29" spans="1:9" x14ac:dyDescent="0.2">
      <c r="A29" s="39" t="s">
        <v>799</v>
      </c>
      <c r="B29" s="38">
        <f>B27-E33-F33</f>
        <v>0</v>
      </c>
      <c r="C29" s="44">
        <f>C27-E39-F39</f>
        <v>0</v>
      </c>
      <c r="D29" s="554" t="s">
        <v>110</v>
      </c>
      <c r="E29" s="555"/>
      <c r="F29" s="555"/>
      <c r="G29" s="555"/>
      <c r="H29" s="13"/>
      <c r="I29" s="37"/>
    </row>
    <row r="30" spans="1:9" ht="21" thickBot="1" x14ac:dyDescent="0.35">
      <c r="A30" s="39"/>
      <c r="B30" s="13"/>
      <c r="C30" s="13"/>
      <c r="D30" s="13"/>
      <c r="E30" s="14"/>
      <c r="F30" s="14"/>
      <c r="G30" s="13"/>
      <c r="H30" s="13"/>
      <c r="I30" s="37"/>
    </row>
    <row r="31" spans="1:9" ht="51" x14ac:dyDescent="0.2">
      <c r="A31" s="19" t="s">
        <v>41</v>
      </c>
      <c r="B31" s="20" t="s">
        <v>34</v>
      </c>
      <c r="C31" s="20" t="s">
        <v>64</v>
      </c>
      <c r="D31" s="20" t="s">
        <v>63</v>
      </c>
      <c r="E31" s="20" t="s">
        <v>37</v>
      </c>
      <c r="F31" s="20" t="s">
        <v>48</v>
      </c>
      <c r="G31" s="20" t="s">
        <v>40</v>
      </c>
      <c r="H31" s="20" t="s">
        <v>38</v>
      </c>
      <c r="I31" s="21" t="s">
        <v>5</v>
      </c>
    </row>
    <row r="32" spans="1:9" x14ac:dyDescent="0.2">
      <c r="A32" s="22" t="s">
        <v>10</v>
      </c>
      <c r="B32" s="23" t="s">
        <v>10</v>
      </c>
      <c r="C32" s="57">
        <v>33000</v>
      </c>
      <c r="D32" s="50">
        <v>45299</v>
      </c>
      <c r="E32" s="57">
        <v>33000</v>
      </c>
      <c r="F32" s="57"/>
      <c r="G32" s="23" t="s">
        <v>1154</v>
      </c>
      <c r="H32" s="23" t="s">
        <v>823</v>
      </c>
      <c r="I32" s="24"/>
    </row>
    <row r="33" spans="1:9" x14ac:dyDescent="0.2">
      <c r="A33" s="25" t="s">
        <v>43</v>
      </c>
      <c r="B33" s="26"/>
      <c r="C33" s="61">
        <f>C32</f>
        <v>33000</v>
      </c>
      <c r="D33" s="26"/>
      <c r="E33" s="61">
        <f>E32</f>
        <v>33000</v>
      </c>
      <c r="F33" s="61">
        <f>F32</f>
        <v>0</v>
      </c>
      <c r="G33" s="26"/>
      <c r="H33" s="26"/>
      <c r="I33" s="27"/>
    </row>
    <row r="34" spans="1:9" x14ac:dyDescent="0.2">
      <c r="A34" s="33"/>
      <c r="B34" s="33"/>
      <c r="C34" s="59"/>
      <c r="D34" s="33"/>
      <c r="E34" s="59"/>
      <c r="F34" s="59"/>
      <c r="G34" s="33"/>
      <c r="H34" s="33"/>
      <c r="I34" s="33"/>
    </row>
    <row r="35" spans="1:9" x14ac:dyDescent="0.2">
      <c r="A35" s="25" t="s">
        <v>42</v>
      </c>
      <c r="B35" s="138"/>
      <c r="C35" s="142"/>
      <c r="D35" s="136"/>
      <c r="E35" s="58"/>
      <c r="F35" s="83"/>
      <c r="G35" s="138"/>
      <c r="H35" s="135"/>
      <c r="I35" s="43"/>
    </row>
    <row r="36" spans="1:9" ht="25.5" x14ac:dyDescent="0.2">
      <c r="A36" s="150"/>
      <c r="B36" s="135" t="s">
        <v>10</v>
      </c>
      <c r="C36" s="142">
        <v>10000</v>
      </c>
      <c r="D36" s="136" t="s">
        <v>1166</v>
      </c>
      <c r="E36" s="151"/>
      <c r="F36" s="82"/>
      <c r="G36" s="604" t="s">
        <v>1226</v>
      </c>
      <c r="H36" s="135" t="s">
        <v>1159</v>
      </c>
      <c r="I36" s="144" t="s">
        <v>1227</v>
      </c>
    </row>
    <row r="37" spans="1:9" x14ac:dyDescent="0.2">
      <c r="A37" s="150"/>
      <c r="B37" s="243" t="s">
        <v>10</v>
      </c>
      <c r="C37" s="142">
        <v>63000</v>
      </c>
      <c r="D37" s="245" t="s">
        <v>1172</v>
      </c>
      <c r="E37" s="151">
        <v>63000</v>
      </c>
      <c r="F37" s="82"/>
      <c r="G37" s="605"/>
      <c r="H37" s="243" t="s">
        <v>1167</v>
      </c>
      <c r="I37" s="144"/>
    </row>
    <row r="38" spans="1:9" x14ac:dyDescent="0.2">
      <c r="A38" s="150"/>
      <c r="B38" s="11"/>
      <c r="C38" s="142"/>
      <c r="D38" s="12"/>
      <c r="E38" s="82"/>
      <c r="F38" s="82"/>
      <c r="H38" s="11"/>
      <c r="I38" s="144"/>
    </row>
    <row r="39" spans="1:9" ht="13.5" thickBot="1" x14ac:dyDescent="0.25">
      <c r="A39" s="28" t="s">
        <v>43</v>
      </c>
      <c r="B39" s="29"/>
      <c r="C39" s="56">
        <f>SUM(C36:C38)</f>
        <v>73000</v>
      </c>
      <c r="D39" s="29"/>
      <c r="E39" s="56">
        <f>SUM(E35:E38)</f>
        <v>63000</v>
      </c>
      <c r="F39" s="56">
        <f>SUM(F35:F38)</f>
        <v>0</v>
      </c>
      <c r="G39" s="29"/>
      <c r="H39" s="29"/>
      <c r="I39" s="30"/>
    </row>
    <row r="40" spans="1:9" ht="13.5" thickBot="1" x14ac:dyDescent="0.25"/>
    <row r="41" spans="1:9" ht="21" thickBot="1" x14ac:dyDescent="0.25">
      <c r="A41" s="550" t="s">
        <v>980</v>
      </c>
      <c r="B41" s="551"/>
      <c r="C41" s="551"/>
      <c r="D41" s="551"/>
      <c r="E41" s="551"/>
      <c r="F41" s="551"/>
      <c r="G41" s="551"/>
      <c r="H41" s="551"/>
      <c r="I41" s="552"/>
    </row>
    <row r="42" spans="1:9" ht="20.25" x14ac:dyDescent="0.3">
      <c r="A42" s="39"/>
      <c r="B42" s="13" t="s">
        <v>964</v>
      </c>
      <c r="C42" s="13" t="s">
        <v>966</v>
      </c>
      <c r="D42" s="13"/>
      <c r="E42" s="14"/>
      <c r="F42" s="14"/>
      <c r="G42" s="13"/>
      <c r="H42" s="13"/>
      <c r="I42" s="37"/>
    </row>
    <row r="43" spans="1:9" ht="20.25" x14ac:dyDescent="0.3">
      <c r="A43" s="39" t="s">
        <v>971</v>
      </c>
      <c r="B43" s="18">
        <v>33000</v>
      </c>
      <c r="C43" s="18">
        <v>31500</v>
      </c>
      <c r="D43" s="18"/>
      <c r="E43" s="14"/>
      <c r="F43" s="14"/>
      <c r="G43" s="13"/>
      <c r="H43" s="13"/>
      <c r="I43" s="37"/>
    </row>
    <row r="44" spans="1:9" ht="20.25" x14ac:dyDescent="0.3">
      <c r="A44" s="39" t="s">
        <v>36</v>
      </c>
      <c r="B44" s="18">
        <f>IF(B68&gt;B43,B43,B68)</f>
        <v>0</v>
      </c>
      <c r="C44" s="18">
        <f>IF(C68&gt;C43,C43,C68)</f>
        <v>31500</v>
      </c>
      <c r="D44" s="18"/>
      <c r="E44" s="14"/>
      <c r="F44" s="14"/>
      <c r="G44" s="13"/>
      <c r="H44" s="13"/>
      <c r="I44" s="37"/>
    </row>
    <row r="45" spans="1:9" ht="20.25" x14ac:dyDescent="0.3">
      <c r="A45" s="39" t="s">
        <v>969</v>
      </c>
      <c r="B45" s="18">
        <f>B43+B44</f>
        <v>33000</v>
      </c>
      <c r="C45" s="18">
        <f>SUM(C43:C44)</f>
        <v>63000</v>
      </c>
      <c r="D45" s="125" t="s">
        <v>107</v>
      </c>
      <c r="E45" s="14"/>
      <c r="F45" s="14"/>
      <c r="G45" s="13"/>
      <c r="H45" s="13"/>
      <c r="I45" s="37"/>
    </row>
    <row r="46" spans="1:9" ht="20.25" x14ac:dyDescent="0.3">
      <c r="A46" s="39" t="s">
        <v>47</v>
      </c>
      <c r="B46" s="18">
        <f>B69</f>
        <v>0</v>
      </c>
      <c r="C46" s="18">
        <f>IF(C69&gt;C43,C43,C69)</f>
        <v>31500</v>
      </c>
      <c r="D46" s="18"/>
      <c r="E46" s="14"/>
      <c r="F46" s="14"/>
      <c r="G46" s="13"/>
      <c r="H46" s="13"/>
      <c r="I46" s="37"/>
    </row>
    <row r="47" spans="1:9" ht="20.25" x14ac:dyDescent="0.3">
      <c r="A47" s="39" t="s">
        <v>479</v>
      </c>
      <c r="B47" s="18">
        <f>B46+B43</f>
        <v>33000</v>
      </c>
      <c r="C47" s="18">
        <f>C46+C43</f>
        <v>63000</v>
      </c>
      <c r="D47" s="146" t="s">
        <v>108</v>
      </c>
      <c r="E47" s="14"/>
      <c r="F47" s="14"/>
      <c r="G47" s="13"/>
      <c r="H47" s="13"/>
      <c r="I47" s="37"/>
    </row>
    <row r="48" spans="1:9" ht="20.25" x14ac:dyDescent="0.3">
      <c r="A48" s="39" t="s">
        <v>39</v>
      </c>
      <c r="B48" s="18">
        <f>B45-E53</f>
        <v>0</v>
      </c>
      <c r="C48" s="18">
        <f>C45-E59</f>
        <v>62165.45</v>
      </c>
      <c r="D48" s="146" t="s">
        <v>109</v>
      </c>
      <c r="E48" s="14"/>
      <c r="F48" s="14"/>
      <c r="G48" s="13"/>
      <c r="H48" s="13"/>
      <c r="I48" s="37"/>
    </row>
    <row r="49" spans="1:9" x14ac:dyDescent="0.2">
      <c r="A49" s="39" t="s">
        <v>799</v>
      </c>
      <c r="B49" s="38">
        <f>B47-E53-F53</f>
        <v>0</v>
      </c>
      <c r="C49" s="44">
        <f>C47-E59-F59</f>
        <v>62165.45</v>
      </c>
      <c r="D49" s="554" t="s">
        <v>110</v>
      </c>
      <c r="E49" s="555"/>
      <c r="F49" s="555"/>
      <c r="G49" s="555"/>
      <c r="H49" s="13"/>
      <c r="I49" s="37"/>
    </row>
    <row r="50" spans="1:9" ht="21" thickBot="1" x14ac:dyDescent="0.35">
      <c r="A50" s="39"/>
      <c r="B50" s="13"/>
      <c r="C50" s="13"/>
      <c r="D50" s="13"/>
      <c r="E50" s="14"/>
      <c r="F50" s="14"/>
      <c r="G50" s="13"/>
      <c r="H50" s="13"/>
      <c r="I50" s="37"/>
    </row>
    <row r="51" spans="1:9" ht="51" x14ac:dyDescent="0.2">
      <c r="A51" s="19" t="s">
        <v>41</v>
      </c>
      <c r="B51" s="20" t="s">
        <v>34</v>
      </c>
      <c r="C51" s="20" t="s">
        <v>64</v>
      </c>
      <c r="D51" s="20" t="s">
        <v>63</v>
      </c>
      <c r="E51" s="20" t="s">
        <v>37</v>
      </c>
      <c r="F51" s="20" t="s">
        <v>48</v>
      </c>
      <c r="G51" s="20" t="s">
        <v>40</v>
      </c>
      <c r="H51" s="20" t="s">
        <v>38</v>
      </c>
      <c r="I51" s="21" t="s">
        <v>5</v>
      </c>
    </row>
    <row r="52" spans="1:9" x14ac:dyDescent="0.2">
      <c r="A52" s="22" t="s">
        <v>10</v>
      </c>
      <c r="B52" s="23" t="s">
        <v>10</v>
      </c>
      <c r="C52" s="57">
        <v>33000</v>
      </c>
      <c r="D52" s="50">
        <v>45000</v>
      </c>
      <c r="E52" s="57">
        <v>33000</v>
      </c>
      <c r="F52" s="57"/>
      <c r="G52" s="23" t="s">
        <v>1008</v>
      </c>
      <c r="H52" s="23" t="s">
        <v>823</v>
      </c>
      <c r="I52" s="24"/>
    </row>
    <row r="53" spans="1:9" x14ac:dyDescent="0.2">
      <c r="A53" s="25" t="s">
        <v>43</v>
      </c>
      <c r="B53" s="26"/>
      <c r="C53" s="61">
        <v>0</v>
      </c>
      <c r="D53" s="26"/>
      <c r="E53" s="61">
        <f>E52</f>
        <v>33000</v>
      </c>
      <c r="F53" s="61">
        <f>F52</f>
        <v>0</v>
      </c>
      <c r="G53" s="26"/>
      <c r="H53" s="26"/>
      <c r="I53" s="27"/>
    </row>
    <row r="54" spans="1:9" x14ac:dyDescent="0.2">
      <c r="A54" s="33"/>
      <c r="B54" s="33"/>
      <c r="C54" s="59"/>
      <c r="D54" s="33"/>
      <c r="E54" s="59"/>
      <c r="F54" s="59"/>
      <c r="G54" s="33"/>
      <c r="H54" s="33"/>
      <c r="I54" s="33"/>
    </row>
    <row r="55" spans="1:9" x14ac:dyDescent="0.2">
      <c r="A55" s="25" t="s">
        <v>42</v>
      </c>
      <c r="B55" s="138"/>
      <c r="C55" s="142"/>
      <c r="D55" s="136"/>
      <c r="E55" s="58"/>
      <c r="F55" s="83"/>
      <c r="G55" s="138"/>
      <c r="H55" s="135"/>
      <c r="I55" s="43"/>
    </row>
    <row r="56" spans="1:9" x14ac:dyDescent="0.2">
      <c r="A56" s="150"/>
      <c r="B56" s="135" t="s">
        <v>10</v>
      </c>
      <c r="C56" s="142">
        <v>10000</v>
      </c>
      <c r="D56" s="136" t="s">
        <v>1067</v>
      </c>
      <c r="E56" s="151">
        <v>834.55</v>
      </c>
      <c r="F56" s="82">
        <f>C56-E56</f>
        <v>9165.4500000000007</v>
      </c>
      <c r="G56" s="135" t="s">
        <v>1108</v>
      </c>
      <c r="H56" s="135" t="s">
        <v>1058</v>
      </c>
      <c r="I56" s="144"/>
    </row>
    <row r="57" spans="1:9" x14ac:dyDescent="0.2">
      <c r="A57" s="150"/>
      <c r="B57" s="243" t="s">
        <v>10</v>
      </c>
      <c r="C57" s="142"/>
      <c r="D57" s="245"/>
      <c r="E57" s="151"/>
      <c r="F57" s="82">
        <v>-9165.4500000000007</v>
      </c>
      <c r="G57" s="243"/>
      <c r="H57" s="243"/>
      <c r="I57" s="144" t="s">
        <v>1107</v>
      </c>
    </row>
    <row r="58" spans="1:9" x14ac:dyDescent="0.2">
      <c r="A58" s="150"/>
      <c r="B58" s="11"/>
      <c r="C58" s="142"/>
      <c r="D58" s="12"/>
      <c r="E58" s="82"/>
      <c r="F58" s="82"/>
      <c r="H58" s="11"/>
      <c r="I58" s="144"/>
    </row>
    <row r="59" spans="1:9" ht="13.5" thickBot="1" x14ac:dyDescent="0.25">
      <c r="A59" s="28" t="s">
        <v>43</v>
      </c>
      <c r="B59" s="29"/>
      <c r="C59" s="56">
        <f>SUM(C56:C58)</f>
        <v>10000</v>
      </c>
      <c r="D59" s="29"/>
      <c r="E59" s="56">
        <f>SUM(E55:E56)</f>
        <v>834.55</v>
      </c>
      <c r="F59" s="56">
        <f>SUM(F55:F58)</f>
        <v>0</v>
      </c>
      <c r="G59" s="29"/>
      <c r="H59" s="29"/>
      <c r="I59" s="30"/>
    </row>
    <row r="60" spans="1:9" ht="13.5" thickBot="1" x14ac:dyDescent="0.25"/>
    <row r="61" spans="1:9" ht="21" thickBot="1" x14ac:dyDescent="0.25">
      <c r="A61" s="550" t="s">
        <v>871</v>
      </c>
      <c r="B61" s="551"/>
      <c r="C61" s="551"/>
      <c r="D61" s="551"/>
      <c r="E61" s="551"/>
      <c r="F61" s="551"/>
      <c r="G61" s="551"/>
      <c r="H61" s="551"/>
      <c r="I61" s="552"/>
    </row>
    <row r="62" spans="1:9" ht="20.25" x14ac:dyDescent="0.3">
      <c r="A62" s="39"/>
      <c r="B62" s="13" t="s">
        <v>859</v>
      </c>
      <c r="C62" s="13" t="s">
        <v>861</v>
      </c>
      <c r="D62" s="13"/>
      <c r="E62" s="14"/>
      <c r="F62" s="14"/>
      <c r="G62" s="13"/>
      <c r="H62" s="13"/>
      <c r="I62" s="37"/>
    </row>
    <row r="63" spans="1:9" ht="20.25" x14ac:dyDescent="0.3">
      <c r="A63" s="39" t="s">
        <v>864</v>
      </c>
      <c r="B63" s="18">
        <v>33000</v>
      </c>
      <c r="C63" s="18">
        <v>31500</v>
      </c>
      <c r="D63" s="18"/>
      <c r="E63" s="14"/>
      <c r="F63" s="14"/>
      <c r="G63" s="13"/>
      <c r="H63" s="13"/>
      <c r="I63" s="37"/>
    </row>
    <row r="64" spans="1:9" ht="20.25" x14ac:dyDescent="0.3">
      <c r="A64" s="39" t="s">
        <v>36</v>
      </c>
      <c r="B64" s="18">
        <f>IF(B89&gt;B63,B63,B89)</f>
        <v>0</v>
      </c>
      <c r="C64" s="18">
        <f>IF(C89&gt;C63,C63,C89)</f>
        <v>31500</v>
      </c>
      <c r="D64" s="18"/>
      <c r="E64" s="14"/>
      <c r="F64" s="14"/>
      <c r="G64" s="13"/>
      <c r="H64" s="13"/>
      <c r="I64" s="37"/>
    </row>
    <row r="65" spans="1:9" ht="20.25" x14ac:dyDescent="0.3">
      <c r="A65" s="39" t="s">
        <v>862</v>
      </c>
      <c r="B65" s="18">
        <f>B63+B64</f>
        <v>33000</v>
      </c>
      <c r="C65" s="18">
        <f>SUM(C63:C64)</f>
        <v>63000</v>
      </c>
      <c r="D65" s="125" t="s">
        <v>107</v>
      </c>
      <c r="E65" s="14"/>
      <c r="F65" s="14"/>
      <c r="G65" s="13"/>
      <c r="H65" s="13"/>
      <c r="I65" s="37"/>
    </row>
    <row r="66" spans="1:9" ht="20.25" x14ac:dyDescent="0.3">
      <c r="A66" s="39" t="s">
        <v>47</v>
      </c>
      <c r="B66" s="18">
        <f>B89</f>
        <v>0</v>
      </c>
      <c r="C66" s="18">
        <f>IF(C90&gt;C84,C84,C90)</f>
        <v>31500</v>
      </c>
      <c r="D66" s="18"/>
      <c r="E66" s="14"/>
      <c r="F66" s="14"/>
      <c r="G66" s="13"/>
      <c r="H66" s="13"/>
      <c r="I66" s="37"/>
    </row>
    <row r="67" spans="1:9" ht="20.25" x14ac:dyDescent="0.3">
      <c r="A67" s="39" t="s">
        <v>479</v>
      </c>
      <c r="B67" s="18">
        <f>B66+B63</f>
        <v>33000</v>
      </c>
      <c r="C67" s="18">
        <f>C66+C63</f>
        <v>63000</v>
      </c>
      <c r="D67" s="146" t="s">
        <v>108</v>
      </c>
      <c r="E67" s="14"/>
      <c r="F67" s="14"/>
      <c r="G67" s="13"/>
      <c r="H67" s="13"/>
      <c r="I67" s="37"/>
    </row>
    <row r="68" spans="1:9" ht="20.25" x14ac:dyDescent="0.3">
      <c r="A68" s="39" t="s">
        <v>39</v>
      </c>
      <c r="B68" s="18">
        <f>B65-E73</f>
        <v>0</v>
      </c>
      <c r="C68" s="18">
        <f>C65-E80</f>
        <v>60730</v>
      </c>
      <c r="D68" s="146" t="s">
        <v>109</v>
      </c>
      <c r="E68" s="14"/>
      <c r="F68" s="14"/>
      <c r="G68" s="13"/>
      <c r="H68" s="13"/>
      <c r="I68" s="37"/>
    </row>
    <row r="69" spans="1:9" x14ac:dyDescent="0.2">
      <c r="A69" s="39" t="s">
        <v>799</v>
      </c>
      <c r="B69" s="38">
        <f>B67-E73-F73</f>
        <v>0</v>
      </c>
      <c r="C69" s="44">
        <f>C67-E80-F80</f>
        <v>60730</v>
      </c>
      <c r="D69" s="554" t="s">
        <v>110</v>
      </c>
      <c r="E69" s="555"/>
      <c r="F69" s="555"/>
      <c r="G69" s="555"/>
      <c r="H69" s="13"/>
      <c r="I69" s="37"/>
    </row>
    <row r="70" spans="1:9" ht="21" thickBot="1" x14ac:dyDescent="0.35">
      <c r="A70" s="39"/>
      <c r="B70" s="13"/>
      <c r="C70" s="13"/>
      <c r="D70" s="13"/>
      <c r="E70" s="14"/>
      <c r="F70" s="14"/>
      <c r="G70" s="13"/>
      <c r="H70" s="13"/>
      <c r="I70" s="37"/>
    </row>
    <row r="71" spans="1:9" ht="51" x14ac:dyDescent="0.2">
      <c r="A71" s="19" t="s">
        <v>41</v>
      </c>
      <c r="B71" s="20" t="s">
        <v>34</v>
      </c>
      <c r="C71" s="20" t="s">
        <v>64</v>
      </c>
      <c r="D71" s="20" t="s">
        <v>63</v>
      </c>
      <c r="E71" s="20" t="s">
        <v>37</v>
      </c>
      <c r="F71" s="20" t="s">
        <v>48</v>
      </c>
      <c r="G71" s="20" t="s">
        <v>40</v>
      </c>
      <c r="H71" s="20" t="s">
        <v>38</v>
      </c>
      <c r="I71" s="21" t="s">
        <v>5</v>
      </c>
    </row>
    <row r="72" spans="1:9" x14ac:dyDescent="0.2">
      <c r="A72" s="22" t="s">
        <v>10</v>
      </c>
      <c r="B72" s="23" t="s">
        <v>10</v>
      </c>
      <c r="C72" s="57">
        <v>33000</v>
      </c>
      <c r="D72" s="50">
        <v>44586</v>
      </c>
      <c r="E72" s="57">
        <v>33000</v>
      </c>
      <c r="F72" s="57"/>
      <c r="G72" s="23" t="s">
        <v>880</v>
      </c>
      <c r="H72" s="23" t="s">
        <v>823</v>
      </c>
      <c r="I72" s="24"/>
    </row>
    <row r="73" spans="1:9" x14ac:dyDescent="0.2">
      <c r="A73" s="25" t="s">
        <v>43</v>
      </c>
      <c r="B73" s="26"/>
      <c r="C73" s="61">
        <v>33000</v>
      </c>
      <c r="D73" s="26"/>
      <c r="E73" s="61">
        <f>E72</f>
        <v>33000</v>
      </c>
      <c r="F73" s="61">
        <f>F72</f>
        <v>0</v>
      </c>
      <c r="G73" s="26"/>
      <c r="H73" s="26"/>
      <c r="I73" s="27"/>
    </row>
    <row r="74" spans="1:9" x14ac:dyDescent="0.2">
      <c r="A74" s="33"/>
      <c r="B74" s="33"/>
      <c r="C74" s="59"/>
      <c r="D74" s="33"/>
      <c r="E74" s="59"/>
      <c r="F74" s="59"/>
      <c r="G74" s="33"/>
      <c r="H74" s="33"/>
      <c r="I74" s="33"/>
    </row>
    <row r="75" spans="1:9" x14ac:dyDescent="0.2">
      <c r="A75" s="25" t="s">
        <v>42</v>
      </c>
      <c r="B75" s="138"/>
      <c r="C75" s="142"/>
      <c r="D75" s="136"/>
      <c r="E75" s="58"/>
      <c r="F75" s="83"/>
      <c r="G75" s="138"/>
      <c r="H75" s="135"/>
      <c r="I75" s="43"/>
    </row>
    <row r="76" spans="1:9" x14ac:dyDescent="0.2">
      <c r="A76" s="150"/>
      <c r="B76" s="135" t="s">
        <v>10</v>
      </c>
      <c r="C76" s="142">
        <v>5000</v>
      </c>
      <c r="D76" s="136" t="s">
        <v>942</v>
      </c>
      <c r="E76" s="151">
        <v>2270</v>
      </c>
      <c r="F76" s="82">
        <f>C76-E76</f>
        <v>2730</v>
      </c>
      <c r="G76" s="135" t="s">
        <v>1097</v>
      </c>
      <c r="H76" s="135" t="s">
        <v>941</v>
      </c>
      <c r="I76" s="144"/>
    </row>
    <row r="77" spans="1:9" x14ac:dyDescent="0.2">
      <c r="A77" s="150"/>
      <c r="B77" s="243"/>
      <c r="C77" s="142"/>
      <c r="D77" s="245"/>
      <c r="E77" s="151"/>
      <c r="F77" s="82">
        <v>-2730</v>
      </c>
      <c r="G77" s="135" t="s">
        <v>1097</v>
      </c>
      <c r="H77" s="243" t="s">
        <v>941</v>
      </c>
      <c r="I77" s="144" t="s">
        <v>1095</v>
      </c>
    </row>
    <row r="78" spans="1:9" x14ac:dyDescent="0.2">
      <c r="A78" s="150"/>
      <c r="B78" s="243" t="s">
        <v>10</v>
      </c>
      <c r="C78" s="142">
        <v>20000</v>
      </c>
      <c r="D78" s="245" t="s">
        <v>961</v>
      </c>
      <c r="E78" s="151">
        <v>17780</v>
      </c>
      <c r="F78" s="82">
        <f>C78-E78</f>
        <v>2220</v>
      </c>
      <c r="G78" s="135" t="s">
        <v>1098</v>
      </c>
      <c r="H78" s="243" t="s">
        <v>958</v>
      </c>
      <c r="I78" s="144"/>
    </row>
    <row r="79" spans="1:9" ht="12.95" customHeight="1" x14ac:dyDescent="0.2">
      <c r="A79" s="150"/>
      <c r="B79" s="11"/>
      <c r="C79" s="142"/>
      <c r="D79" s="12"/>
      <c r="E79" s="82"/>
      <c r="F79" s="82">
        <v>-2220</v>
      </c>
      <c r="G79" s="135" t="s">
        <v>1098</v>
      </c>
      <c r="H79" s="11" t="s">
        <v>958</v>
      </c>
      <c r="I79" s="144" t="s">
        <v>1095</v>
      </c>
    </row>
    <row r="80" spans="1:9" ht="12.95" customHeight="1" thickBot="1" x14ac:dyDescent="0.25">
      <c r="A80" s="28" t="s">
        <v>43</v>
      </c>
      <c r="B80" s="29"/>
      <c r="C80" s="56">
        <f>SUM(C76:C79)</f>
        <v>25000</v>
      </c>
      <c r="D80" s="29"/>
      <c r="E80" s="56">
        <f>SUM(E75:E76)</f>
        <v>2270</v>
      </c>
      <c r="F80" s="56">
        <f>SUM(F75:F79)</f>
        <v>0</v>
      </c>
      <c r="G80" s="29"/>
      <c r="H80" s="29"/>
      <c r="I80" s="30"/>
    </row>
    <row r="81" spans="1:9" ht="12.95" customHeight="1" thickBot="1" x14ac:dyDescent="0.25"/>
    <row r="82" spans="1:9" ht="21" thickBot="1" x14ac:dyDescent="0.25">
      <c r="A82" s="550" t="s">
        <v>789</v>
      </c>
      <c r="B82" s="551"/>
      <c r="C82" s="551"/>
      <c r="D82" s="551"/>
      <c r="E82" s="551"/>
      <c r="F82" s="551"/>
      <c r="G82" s="551"/>
      <c r="H82" s="551"/>
      <c r="I82" s="552"/>
    </row>
    <row r="83" spans="1:9" ht="20.25" x14ac:dyDescent="0.3">
      <c r="A83" s="39"/>
      <c r="B83" s="13" t="s">
        <v>780</v>
      </c>
      <c r="C83" s="13" t="s">
        <v>782</v>
      </c>
      <c r="D83" s="13"/>
      <c r="E83" s="14"/>
      <c r="F83" s="14"/>
      <c r="G83" s="13"/>
      <c r="H83" s="13"/>
      <c r="I83" s="37"/>
    </row>
    <row r="84" spans="1:9" ht="20.25" x14ac:dyDescent="0.3">
      <c r="A84" s="39" t="s">
        <v>784</v>
      </c>
      <c r="B84" s="18">
        <v>33000</v>
      </c>
      <c r="C84" s="18">
        <v>31500</v>
      </c>
      <c r="D84" s="18"/>
      <c r="E84" s="14"/>
      <c r="F84" s="14"/>
      <c r="G84" s="13"/>
      <c r="H84" s="13"/>
      <c r="I84" s="37"/>
    </row>
    <row r="85" spans="1:9" ht="20.25" x14ac:dyDescent="0.3">
      <c r="A85" s="39" t="s">
        <v>36</v>
      </c>
      <c r="B85" s="18">
        <f>IF(B110&gt;B84,B84,B110)</f>
        <v>0</v>
      </c>
      <c r="C85" s="18">
        <f>IF(C110&gt;C84,C84,C110)</f>
        <v>31500</v>
      </c>
      <c r="D85" s="18"/>
      <c r="E85" s="14"/>
      <c r="F85" s="14"/>
      <c r="G85" s="13"/>
      <c r="H85" s="13"/>
      <c r="I85" s="37"/>
    </row>
    <row r="86" spans="1:9" ht="20.25" x14ac:dyDescent="0.3">
      <c r="A86" s="39" t="s">
        <v>785</v>
      </c>
      <c r="B86" s="18">
        <f>B84+B85</f>
        <v>33000</v>
      </c>
      <c r="C86" s="18">
        <f>SUM(C84:C85)</f>
        <v>63000</v>
      </c>
      <c r="D86" s="125" t="s">
        <v>107</v>
      </c>
      <c r="E86" s="14"/>
      <c r="F86" s="14"/>
      <c r="G86" s="13"/>
      <c r="H86" s="13"/>
      <c r="I86" s="37"/>
    </row>
    <row r="87" spans="1:9" ht="20.25" x14ac:dyDescent="0.3">
      <c r="A87" s="39" t="s">
        <v>47</v>
      </c>
      <c r="B87" s="18">
        <f>B110</f>
        <v>0</v>
      </c>
      <c r="C87" s="18">
        <f>IF(C111&gt;C105,C105,C111)</f>
        <v>31500</v>
      </c>
      <c r="D87" s="18"/>
      <c r="E87" s="14"/>
      <c r="F87" s="14"/>
      <c r="G87" s="13"/>
      <c r="H87" s="13"/>
      <c r="I87" s="37"/>
    </row>
    <row r="88" spans="1:9" ht="20.25" x14ac:dyDescent="0.3">
      <c r="A88" s="39" t="s">
        <v>479</v>
      </c>
      <c r="B88" s="18">
        <f>B87+B84</f>
        <v>33000</v>
      </c>
      <c r="C88" s="18">
        <f>C87+C84</f>
        <v>63000</v>
      </c>
      <c r="D88" s="146" t="s">
        <v>108</v>
      </c>
      <c r="E88" s="14"/>
      <c r="F88" s="14"/>
      <c r="G88" s="13"/>
      <c r="H88" s="13"/>
      <c r="I88" s="37"/>
    </row>
    <row r="89" spans="1:9" ht="20.25" x14ac:dyDescent="0.3">
      <c r="A89" s="39" t="s">
        <v>39</v>
      </c>
      <c r="B89" s="18">
        <f>B86-E94</f>
        <v>0</v>
      </c>
      <c r="C89" s="18">
        <f>C86-E101</f>
        <v>49493</v>
      </c>
      <c r="D89" s="146" t="s">
        <v>109</v>
      </c>
      <c r="E89" s="14"/>
      <c r="F89" s="14"/>
      <c r="G89" s="13"/>
      <c r="H89" s="13"/>
      <c r="I89" s="37"/>
    </row>
    <row r="90" spans="1:9" x14ac:dyDescent="0.2">
      <c r="A90" s="39" t="s">
        <v>799</v>
      </c>
      <c r="B90" s="38">
        <f>B88-E94-F94</f>
        <v>0</v>
      </c>
      <c r="C90" s="44">
        <f>C88-E101-F101</f>
        <v>49493</v>
      </c>
      <c r="D90" s="554" t="s">
        <v>110</v>
      </c>
      <c r="E90" s="555"/>
      <c r="F90" s="555"/>
      <c r="G90" s="555"/>
      <c r="H90" s="13"/>
      <c r="I90" s="37"/>
    </row>
    <row r="91" spans="1:9" ht="21" thickBot="1" x14ac:dyDescent="0.35">
      <c r="A91" s="39"/>
      <c r="B91" s="13"/>
      <c r="C91" s="13"/>
      <c r="D91" s="13"/>
      <c r="E91" s="14"/>
      <c r="F91" s="14"/>
      <c r="G91" s="13"/>
      <c r="H91" s="13"/>
      <c r="I91" s="37"/>
    </row>
    <row r="92" spans="1:9" ht="51" x14ac:dyDescent="0.2">
      <c r="A92" s="19" t="s">
        <v>41</v>
      </c>
      <c r="B92" s="20" t="s">
        <v>34</v>
      </c>
      <c r="C92" s="20" t="s">
        <v>64</v>
      </c>
      <c r="D92" s="20" t="s">
        <v>63</v>
      </c>
      <c r="E92" s="20" t="s">
        <v>37</v>
      </c>
      <c r="F92" s="20" t="s">
        <v>48</v>
      </c>
      <c r="G92" s="20" t="s">
        <v>40</v>
      </c>
      <c r="H92" s="20" t="s">
        <v>38</v>
      </c>
      <c r="I92" s="21" t="s">
        <v>5</v>
      </c>
    </row>
    <row r="93" spans="1:9" x14ac:dyDescent="0.2">
      <c r="A93" s="22" t="s">
        <v>10</v>
      </c>
      <c r="B93" s="23" t="s">
        <v>10</v>
      </c>
      <c r="C93" s="57">
        <v>33000</v>
      </c>
      <c r="D93" s="50">
        <v>44201</v>
      </c>
      <c r="E93" s="57">
        <v>33000</v>
      </c>
      <c r="F93" s="57"/>
      <c r="G93" s="23" t="s">
        <v>824</v>
      </c>
      <c r="H93" s="23" t="s">
        <v>823</v>
      </c>
      <c r="I93" s="24"/>
    </row>
    <row r="94" spans="1:9" x14ac:dyDescent="0.2">
      <c r="A94" s="25" t="s">
        <v>43</v>
      </c>
      <c r="B94" s="26"/>
      <c r="C94" s="61">
        <f>C93</f>
        <v>33000</v>
      </c>
      <c r="D94" s="26"/>
      <c r="E94" s="61">
        <f>E93</f>
        <v>33000</v>
      </c>
      <c r="F94" s="61">
        <f>F93</f>
        <v>0</v>
      </c>
      <c r="G94" s="26"/>
      <c r="H94" s="26"/>
      <c r="I94" s="27"/>
    </row>
    <row r="95" spans="1:9" x14ac:dyDescent="0.2">
      <c r="A95" s="33"/>
      <c r="B95" s="33"/>
      <c r="C95" s="59"/>
      <c r="D95" s="33"/>
      <c r="E95" s="59"/>
      <c r="F95" s="59"/>
      <c r="G95" s="33"/>
      <c r="H95" s="33"/>
      <c r="I95" s="33"/>
    </row>
    <row r="96" spans="1:9" x14ac:dyDescent="0.2">
      <c r="A96" s="25" t="s">
        <v>42</v>
      </c>
      <c r="B96" s="138"/>
      <c r="C96" s="142"/>
      <c r="D96" s="136"/>
      <c r="E96" s="58"/>
      <c r="F96" s="83"/>
      <c r="G96" s="138"/>
      <c r="H96" s="135"/>
      <c r="I96" s="43"/>
    </row>
    <row r="97" spans="1:9" x14ac:dyDescent="0.2">
      <c r="A97" s="150"/>
      <c r="B97" s="135" t="s">
        <v>10</v>
      </c>
      <c r="C97" s="142">
        <v>18000</v>
      </c>
      <c r="D97" s="136" t="s">
        <v>813</v>
      </c>
      <c r="E97" s="151">
        <v>13507</v>
      </c>
      <c r="F97" s="82">
        <f>C97-E97</f>
        <v>4493</v>
      </c>
      <c r="G97" s="135" t="s">
        <v>821</v>
      </c>
      <c r="H97" s="135" t="s">
        <v>811</v>
      </c>
      <c r="I97" s="144"/>
    </row>
    <row r="98" spans="1:9" x14ac:dyDescent="0.2">
      <c r="A98" s="150"/>
      <c r="B98" s="243"/>
      <c r="C98" s="142"/>
      <c r="D98" s="245"/>
      <c r="E98" s="151"/>
      <c r="F98" s="82">
        <v>-4493</v>
      </c>
      <c r="G98" s="243"/>
      <c r="H98" s="243"/>
      <c r="I98" s="144" t="s">
        <v>818</v>
      </c>
    </row>
    <row r="99" spans="1:9" x14ac:dyDescent="0.2">
      <c r="A99" s="150"/>
      <c r="B99" s="11" t="s">
        <v>10</v>
      </c>
      <c r="C99" s="142"/>
      <c r="D99" s="12"/>
      <c r="E99" s="82"/>
      <c r="F99" s="82"/>
      <c r="H99" s="11"/>
      <c r="I99" s="144"/>
    </row>
    <row r="100" spans="1:9" x14ac:dyDescent="0.2">
      <c r="A100" s="150"/>
      <c r="C100" s="142"/>
      <c r="D100" s="12"/>
      <c r="E100" s="82"/>
      <c r="F100" s="82"/>
      <c r="H100" s="11"/>
      <c r="I100" s="144"/>
    </row>
    <row r="101" spans="1:9" ht="13.5" thickBot="1" x14ac:dyDescent="0.25">
      <c r="A101" s="28" t="s">
        <v>43</v>
      </c>
      <c r="B101" s="29"/>
      <c r="C101" s="56">
        <f>SUM(C97:C99)</f>
        <v>18000</v>
      </c>
      <c r="D101" s="29"/>
      <c r="E101" s="56">
        <f>SUM(E96:E97)</f>
        <v>13507</v>
      </c>
      <c r="F101" s="56">
        <f>SUM(F96:F99)</f>
        <v>0</v>
      </c>
      <c r="G101" s="29"/>
      <c r="H101" s="29"/>
      <c r="I101" s="30"/>
    </row>
    <row r="102" spans="1:9" ht="13.5" thickBot="1" x14ac:dyDescent="0.25">
      <c r="A102" s="264"/>
      <c r="B102" s="208"/>
      <c r="C102" s="209"/>
      <c r="D102" s="208"/>
      <c r="E102" s="209"/>
      <c r="F102" s="209"/>
      <c r="G102" s="208"/>
      <c r="H102" s="208"/>
      <c r="I102" s="208"/>
    </row>
    <row r="103" spans="1:9" ht="21" thickBot="1" x14ac:dyDescent="0.25">
      <c r="A103" s="550" t="s">
        <v>705</v>
      </c>
      <c r="B103" s="551"/>
      <c r="C103" s="551"/>
      <c r="D103" s="551"/>
      <c r="E103" s="551"/>
      <c r="F103" s="551"/>
      <c r="G103" s="551"/>
      <c r="H103" s="551"/>
      <c r="I103" s="552"/>
    </row>
    <row r="104" spans="1:9" ht="20.25" x14ac:dyDescent="0.3">
      <c r="A104" s="39"/>
      <c r="B104" s="13" t="s">
        <v>697</v>
      </c>
      <c r="C104" s="13" t="s">
        <v>699</v>
      </c>
      <c r="D104" s="13"/>
      <c r="E104" s="14"/>
      <c r="F104" s="14"/>
      <c r="G104" s="13"/>
      <c r="H104" s="13"/>
      <c r="I104" s="37"/>
    </row>
    <row r="105" spans="1:9" ht="20.25" x14ac:dyDescent="0.3">
      <c r="A105" s="39" t="s">
        <v>701</v>
      </c>
      <c r="B105" s="18">
        <v>31500</v>
      </c>
      <c r="C105" s="18">
        <v>31500</v>
      </c>
      <c r="D105" s="18"/>
      <c r="E105" s="14"/>
      <c r="F105" s="14"/>
      <c r="G105" s="13"/>
      <c r="H105" s="13"/>
      <c r="I105" s="37"/>
    </row>
    <row r="106" spans="1:9" ht="20.25" x14ac:dyDescent="0.3">
      <c r="A106" s="39" t="s">
        <v>36</v>
      </c>
      <c r="B106" s="18">
        <f xml:space="preserve"> IF(B131&gt;30000,30000,B131)</f>
        <v>0</v>
      </c>
      <c r="C106" s="18">
        <f xml:space="preserve"> IF(C131&gt;31500,31500,C131)</f>
        <v>31500</v>
      </c>
      <c r="D106" s="18"/>
      <c r="E106" s="14"/>
      <c r="F106" s="14"/>
      <c r="G106" s="13"/>
      <c r="H106" s="13"/>
      <c r="I106" s="37"/>
    </row>
    <row r="107" spans="1:9" ht="20.25" x14ac:dyDescent="0.3">
      <c r="A107" s="39" t="s">
        <v>702</v>
      </c>
      <c r="B107" s="18">
        <f>SUM(B105:B106)</f>
        <v>31500</v>
      </c>
      <c r="C107" s="18">
        <f>SUM(C105:C106)</f>
        <v>63000</v>
      </c>
      <c r="D107" s="125" t="s">
        <v>107</v>
      </c>
      <c r="E107" s="14"/>
      <c r="F107" s="14"/>
      <c r="G107" s="13"/>
      <c r="H107" s="13"/>
      <c r="I107" s="37"/>
    </row>
    <row r="108" spans="1:9" ht="20.25" x14ac:dyDescent="0.3">
      <c r="A108" s="39" t="s">
        <v>47</v>
      </c>
      <c r="B108" s="18">
        <f>IF(B132&gt;30000,30000,B132)</f>
        <v>0</v>
      </c>
      <c r="C108" s="18">
        <f>IF(C132&gt;31500,31500,C132)</f>
        <v>31500</v>
      </c>
      <c r="D108" s="18"/>
      <c r="E108" s="14"/>
      <c r="F108" s="14"/>
      <c r="G108" s="13"/>
      <c r="H108" s="13"/>
      <c r="I108" s="37"/>
    </row>
    <row r="109" spans="1:9" ht="20.25" x14ac:dyDescent="0.3">
      <c r="A109" s="39" t="s">
        <v>45</v>
      </c>
      <c r="B109" s="18">
        <f>B108+B105</f>
        <v>31500</v>
      </c>
      <c r="C109" s="18">
        <f>C108+C105</f>
        <v>63000</v>
      </c>
      <c r="D109" s="146" t="s">
        <v>108</v>
      </c>
      <c r="E109" s="14"/>
      <c r="F109" s="14"/>
      <c r="G109" s="13"/>
      <c r="H109" s="13"/>
      <c r="I109" s="37"/>
    </row>
    <row r="110" spans="1:9" ht="20.25" x14ac:dyDescent="0.3">
      <c r="A110" s="39" t="s">
        <v>39</v>
      </c>
      <c r="B110" s="18">
        <f>B107-E115</f>
        <v>0</v>
      </c>
      <c r="C110" s="18">
        <f>C107-E122</f>
        <v>62336</v>
      </c>
      <c r="D110" s="146" t="s">
        <v>109</v>
      </c>
      <c r="E110" s="14"/>
      <c r="F110" s="14"/>
      <c r="G110" s="13"/>
      <c r="H110" s="13"/>
      <c r="I110" s="37"/>
    </row>
    <row r="111" spans="1:9" x14ac:dyDescent="0.2">
      <c r="A111" s="39" t="s">
        <v>35</v>
      </c>
      <c r="B111" s="38">
        <f>B109-E115-F115</f>
        <v>0</v>
      </c>
      <c r="C111" s="44">
        <f>C109-E122-F122</f>
        <v>58516</v>
      </c>
      <c r="D111" s="554" t="s">
        <v>110</v>
      </c>
      <c r="E111" s="555"/>
      <c r="F111" s="555"/>
      <c r="G111" s="555"/>
      <c r="H111" s="13"/>
      <c r="I111" s="37"/>
    </row>
    <row r="112" spans="1:9" ht="21" thickBot="1" x14ac:dyDescent="0.35">
      <c r="A112" s="39"/>
      <c r="B112" s="13"/>
      <c r="C112" s="13"/>
      <c r="D112" s="13"/>
      <c r="E112" s="14"/>
      <c r="F112" s="14"/>
      <c r="G112" s="13"/>
      <c r="H112" s="13"/>
      <c r="I112" s="37"/>
    </row>
    <row r="113" spans="1:9" ht="51" x14ac:dyDescent="0.2">
      <c r="A113" s="19" t="s">
        <v>41</v>
      </c>
      <c r="B113" s="20" t="s">
        <v>34</v>
      </c>
      <c r="C113" s="20" t="s">
        <v>64</v>
      </c>
      <c r="D113" s="20" t="s">
        <v>63</v>
      </c>
      <c r="E113" s="20" t="s">
        <v>37</v>
      </c>
      <c r="F113" s="20" t="s">
        <v>48</v>
      </c>
      <c r="G113" s="20" t="s">
        <v>40</v>
      </c>
      <c r="H113" s="20" t="s">
        <v>38</v>
      </c>
      <c r="I113" s="21" t="s">
        <v>5</v>
      </c>
    </row>
    <row r="114" spans="1:9" x14ac:dyDescent="0.2">
      <c r="A114" s="22" t="s">
        <v>10</v>
      </c>
      <c r="B114" s="23" t="s">
        <v>10</v>
      </c>
      <c r="C114" s="57">
        <v>31500</v>
      </c>
      <c r="D114" s="50">
        <v>43832</v>
      </c>
      <c r="E114" s="57">
        <v>31500</v>
      </c>
      <c r="F114" s="57"/>
      <c r="G114" s="23" t="s">
        <v>709</v>
      </c>
      <c r="H114" s="23" t="s">
        <v>706</v>
      </c>
      <c r="I114" s="24"/>
    </row>
    <row r="115" spans="1:9" x14ac:dyDescent="0.2">
      <c r="A115" s="25" t="s">
        <v>43</v>
      </c>
      <c r="B115" s="26"/>
      <c r="C115" s="61">
        <f>C114</f>
        <v>31500</v>
      </c>
      <c r="D115" s="26"/>
      <c r="E115" s="61">
        <f>E114</f>
        <v>31500</v>
      </c>
      <c r="F115" s="61">
        <f>F114</f>
        <v>0</v>
      </c>
      <c r="G115" s="26"/>
      <c r="H115" s="26"/>
      <c r="I115" s="27"/>
    </row>
    <row r="116" spans="1:9" x14ac:dyDescent="0.2">
      <c r="A116" s="33"/>
      <c r="B116" s="33"/>
      <c r="C116" s="59"/>
      <c r="D116" s="33"/>
      <c r="E116" s="59"/>
      <c r="F116" s="59"/>
      <c r="G116" s="33"/>
      <c r="H116" s="33"/>
      <c r="I116" s="33"/>
    </row>
    <row r="117" spans="1:9" x14ac:dyDescent="0.2">
      <c r="A117" s="25" t="s">
        <v>42</v>
      </c>
      <c r="B117" s="138"/>
      <c r="C117" s="142"/>
      <c r="D117" s="136"/>
      <c r="E117" s="58"/>
      <c r="F117" s="83"/>
      <c r="G117" s="138"/>
      <c r="H117" s="135"/>
      <c r="I117" s="43"/>
    </row>
    <row r="118" spans="1:9" x14ac:dyDescent="0.2">
      <c r="A118" s="150"/>
      <c r="B118" s="135" t="s">
        <v>10</v>
      </c>
      <c r="C118" s="142">
        <v>1333</v>
      </c>
      <c r="D118" s="136" t="s">
        <v>726</v>
      </c>
      <c r="E118" s="151">
        <v>664</v>
      </c>
      <c r="F118" s="82">
        <f>C118-E118</f>
        <v>669</v>
      </c>
      <c r="G118" s="135" t="s">
        <v>778</v>
      </c>
      <c r="H118" s="135" t="s">
        <v>719</v>
      </c>
      <c r="I118" s="144" t="s">
        <v>100</v>
      </c>
    </row>
    <row r="119" spans="1:9" x14ac:dyDescent="0.2">
      <c r="A119" s="150"/>
      <c r="B119" s="243"/>
      <c r="C119" s="142"/>
      <c r="D119" s="245"/>
      <c r="E119" s="151"/>
      <c r="F119" s="82">
        <v>-669</v>
      </c>
      <c r="G119" s="243"/>
      <c r="H119" s="243"/>
      <c r="I119" s="144" t="s">
        <v>767</v>
      </c>
    </row>
    <row r="120" spans="1:9" x14ac:dyDescent="0.2">
      <c r="A120" s="150"/>
      <c r="B120" t="s">
        <v>10</v>
      </c>
      <c r="C120" s="142">
        <v>15000</v>
      </c>
      <c r="D120" s="12" t="s">
        <v>746</v>
      </c>
      <c r="E120" s="82">
        <v>11180</v>
      </c>
      <c r="F120" s="82">
        <f>15000-E120</f>
        <v>3820</v>
      </c>
      <c r="G120" t="s">
        <v>778</v>
      </c>
      <c r="H120" s="11" t="s">
        <v>745</v>
      </c>
      <c r="I120" s="144" t="s">
        <v>100</v>
      </c>
    </row>
    <row r="121" spans="1:9" x14ac:dyDescent="0.2">
      <c r="A121" s="150"/>
      <c r="C121" s="142"/>
      <c r="D121" s="12"/>
      <c r="E121" s="82"/>
      <c r="F121" s="82">
        <v>-3820</v>
      </c>
      <c r="H121" s="11"/>
      <c r="I121" s="144" t="s">
        <v>767</v>
      </c>
    </row>
    <row r="122" spans="1:9" ht="13.5" thickBot="1" x14ac:dyDescent="0.25">
      <c r="A122" s="28" t="s">
        <v>43</v>
      </c>
      <c r="B122" s="29"/>
      <c r="C122" s="56">
        <f>SUM(C118:C120)</f>
        <v>16333</v>
      </c>
      <c r="D122" s="29"/>
      <c r="E122" s="56">
        <f>SUM(E117:E118)</f>
        <v>664</v>
      </c>
      <c r="F122" s="56">
        <f>SUM(F117:F120)</f>
        <v>3820</v>
      </c>
      <c r="G122" s="29"/>
      <c r="H122" s="29"/>
      <c r="I122" s="30"/>
    </row>
    <row r="123" spans="1:9" ht="13.5" thickBot="1" x14ac:dyDescent="0.25"/>
    <row r="124" spans="1:9" ht="21" thickBot="1" x14ac:dyDescent="0.25">
      <c r="A124" s="550" t="s">
        <v>610</v>
      </c>
      <c r="B124" s="551"/>
      <c r="C124" s="551"/>
      <c r="D124" s="551"/>
      <c r="E124" s="551"/>
      <c r="F124" s="551"/>
      <c r="G124" s="551"/>
      <c r="H124" s="551"/>
      <c r="I124" s="552"/>
    </row>
    <row r="125" spans="1:9" ht="20.25" x14ac:dyDescent="0.3">
      <c r="A125" s="39"/>
      <c r="B125" s="13" t="s">
        <v>600</v>
      </c>
      <c r="C125" s="13" t="s">
        <v>602</v>
      </c>
      <c r="D125" s="13"/>
      <c r="E125" s="14"/>
      <c r="F125" s="14"/>
      <c r="G125" s="13"/>
      <c r="H125" s="13"/>
      <c r="I125" s="37"/>
    </row>
    <row r="126" spans="1:9" ht="20.25" x14ac:dyDescent="0.3">
      <c r="A126" s="39" t="s">
        <v>606</v>
      </c>
      <c r="B126" s="18">
        <v>31500</v>
      </c>
      <c r="C126" s="18">
        <v>31500</v>
      </c>
      <c r="D126" s="18"/>
      <c r="E126" s="14"/>
      <c r="F126" s="14"/>
      <c r="G126" s="13"/>
      <c r="H126" s="13"/>
      <c r="I126" s="37"/>
    </row>
    <row r="127" spans="1:9" ht="20.25" x14ac:dyDescent="0.3">
      <c r="A127" s="39" t="s">
        <v>36</v>
      </c>
      <c r="B127" s="18">
        <f xml:space="preserve"> IF(B151&gt;30000,30000,B151)</f>
        <v>0</v>
      </c>
      <c r="C127" s="18">
        <f xml:space="preserve"> IF(C151&gt;31500,31500,C151)</f>
        <v>31500</v>
      </c>
      <c r="D127" s="18"/>
      <c r="E127" s="14"/>
      <c r="F127" s="14"/>
      <c r="G127" s="13"/>
      <c r="H127" s="13"/>
      <c r="I127" s="37"/>
    </row>
    <row r="128" spans="1:9" ht="20.25" x14ac:dyDescent="0.3">
      <c r="A128" s="39" t="s">
        <v>603</v>
      </c>
      <c r="B128" s="18">
        <f>SUM(B126:B127)</f>
        <v>31500</v>
      </c>
      <c r="C128" s="18">
        <f>SUM(C126:C127)</f>
        <v>63000</v>
      </c>
      <c r="D128" s="125" t="s">
        <v>107</v>
      </c>
      <c r="E128" s="14"/>
      <c r="F128" s="14"/>
      <c r="G128" s="13"/>
      <c r="H128" s="13"/>
      <c r="I128" s="37"/>
    </row>
    <row r="129" spans="1:9" ht="20.25" x14ac:dyDescent="0.3">
      <c r="A129" s="39" t="s">
        <v>47</v>
      </c>
      <c r="B129" s="18">
        <f>IF(B152&gt;30000,30000,B152)</f>
        <v>0</v>
      </c>
      <c r="C129" s="18">
        <f>IF(C152&gt;31500,31500,C152)</f>
        <v>31500</v>
      </c>
      <c r="D129" s="18"/>
      <c r="E129" s="14"/>
      <c r="F129" s="14"/>
      <c r="G129" s="13"/>
      <c r="H129" s="13"/>
      <c r="I129" s="37"/>
    </row>
    <row r="130" spans="1:9" ht="20.25" x14ac:dyDescent="0.3">
      <c r="A130" s="39" t="s">
        <v>45</v>
      </c>
      <c r="B130" s="18">
        <f>B129+B126</f>
        <v>31500</v>
      </c>
      <c r="C130" s="18">
        <f>C129+C126</f>
        <v>63000</v>
      </c>
      <c r="D130" s="146" t="s">
        <v>108</v>
      </c>
      <c r="E130" s="14"/>
      <c r="F130" s="14"/>
      <c r="G130" s="13"/>
      <c r="H130" s="13"/>
      <c r="I130" s="37"/>
    </row>
    <row r="131" spans="1:9" ht="20.25" x14ac:dyDescent="0.3">
      <c r="A131" s="39" t="s">
        <v>39</v>
      </c>
      <c r="B131" s="18">
        <f>B128-E136</f>
        <v>0</v>
      </c>
      <c r="C131" s="18">
        <f>C128-E142</f>
        <v>57700</v>
      </c>
      <c r="D131" s="146" t="s">
        <v>109</v>
      </c>
      <c r="E131" s="14"/>
      <c r="F131" s="14"/>
      <c r="G131" s="13"/>
      <c r="H131" s="13"/>
      <c r="I131" s="37"/>
    </row>
    <row r="132" spans="1:9" x14ac:dyDescent="0.2">
      <c r="A132" s="39" t="s">
        <v>35</v>
      </c>
      <c r="B132" s="38">
        <f>B130-E136-F136</f>
        <v>0</v>
      </c>
      <c r="C132" s="44">
        <f>C130-E142-F142</f>
        <v>57700</v>
      </c>
      <c r="D132" s="554" t="s">
        <v>110</v>
      </c>
      <c r="E132" s="555"/>
      <c r="F132" s="555"/>
      <c r="G132" s="555"/>
      <c r="H132" s="13"/>
      <c r="I132" s="37"/>
    </row>
    <row r="133" spans="1:9" ht="21" thickBot="1" x14ac:dyDescent="0.35">
      <c r="A133" s="39"/>
      <c r="B133" s="13"/>
      <c r="C133" s="13"/>
      <c r="D133" s="13"/>
      <c r="E133" s="14"/>
      <c r="F133" s="14"/>
      <c r="G133" s="13"/>
      <c r="H133" s="13"/>
      <c r="I133" s="37"/>
    </row>
    <row r="134" spans="1:9" ht="51" x14ac:dyDescent="0.2">
      <c r="A134" s="19" t="s">
        <v>41</v>
      </c>
      <c r="B134" s="20" t="s">
        <v>34</v>
      </c>
      <c r="C134" s="20" t="s">
        <v>64</v>
      </c>
      <c r="D134" s="20" t="s">
        <v>63</v>
      </c>
      <c r="E134" s="20" t="s">
        <v>37</v>
      </c>
      <c r="F134" s="20" t="s">
        <v>48</v>
      </c>
      <c r="G134" s="20" t="s">
        <v>40</v>
      </c>
      <c r="H134" s="20" t="s">
        <v>38</v>
      </c>
      <c r="I134" s="21" t="s">
        <v>5</v>
      </c>
    </row>
    <row r="135" spans="1:9" x14ac:dyDescent="0.2">
      <c r="A135" s="22" t="s">
        <v>10</v>
      </c>
      <c r="B135" s="23" t="s">
        <v>10</v>
      </c>
      <c r="C135" s="57">
        <v>31500</v>
      </c>
      <c r="D135" s="50">
        <v>43467</v>
      </c>
      <c r="E135" s="57">
        <v>31500</v>
      </c>
      <c r="F135" s="57"/>
      <c r="G135" s="23" t="s">
        <v>621</v>
      </c>
      <c r="H135" s="23" t="s">
        <v>622</v>
      </c>
      <c r="I135" s="24"/>
    </row>
    <row r="136" spans="1:9" x14ac:dyDescent="0.2">
      <c r="A136" s="25" t="s">
        <v>43</v>
      </c>
      <c r="B136" s="26"/>
      <c r="C136" s="61">
        <f>C135</f>
        <v>31500</v>
      </c>
      <c r="D136" s="26"/>
      <c r="E136" s="61">
        <f>E135</f>
        <v>31500</v>
      </c>
      <c r="F136" s="61">
        <f>F135</f>
        <v>0</v>
      </c>
      <c r="G136" s="26"/>
      <c r="H136" s="26"/>
      <c r="I136" s="27"/>
    </row>
    <row r="137" spans="1:9" x14ac:dyDescent="0.2">
      <c r="A137" s="33"/>
      <c r="B137" s="33"/>
      <c r="C137" s="59"/>
      <c r="D137" s="33"/>
      <c r="E137" s="59"/>
      <c r="F137" s="59"/>
      <c r="G137" s="33"/>
      <c r="H137" s="33"/>
      <c r="I137" s="33"/>
    </row>
    <row r="138" spans="1:9" x14ac:dyDescent="0.2">
      <c r="A138" s="25" t="s">
        <v>42</v>
      </c>
      <c r="B138" s="138"/>
      <c r="C138" s="142"/>
      <c r="D138" s="136"/>
      <c r="E138" s="58"/>
      <c r="F138" s="83"/>
      <c r="G138" s="138"/>
      <c r="H138" s="135"/>
      <c r="I138" s="43"/>
    </row>
    <row r="139" spans="1:9" x14ac:dyDescent="0.2">
      <c r="A139" s="150"/>
      <c r="B139" s="135" t="s">
        <v>10</v>
      </c>
      <c r="C139" s="142">
        <v>7500</v>
      </c>
      <c r="D139" s="136" t="s">
        <v>625</v>
      </c>
      <c r="E139" s="151">
        <v>2000</v>
      </c>
      <c r="F139" s="82"/>
      <c r="G139" s="135" t="s">
        <v>648</v>
      </c>
      <c r="H139" s="135" t="s">
        <v>624</v>
      </c>
      <c r="I139" s="144" t="s">
        <v>188</v>
      </c>
    </row>
    <row r="140" spans="1:9" x14ac:dyDescent="0.2">
      <c r="A140" s="150"/>
      <c r="B140" s="243"/>
      <c r="C140" s="244"/>
      <c r="D140" s="245">
        <v>43941</v>
      </c>
      <c r="E140" s="246">
        <v>3300</v>
      </c>
      <c r="F140" s="126">
        <f>C139-E139-E140</f>
        <v>2200</v>
      </c>
      <c r="G140" s="243" t="s">
        <v>744</v>
      </c>
      <c r="H140" s="243"/>
      <c r="I140" s="144" t="s">
        <v>100</v>
      </c>
    </row>
    <row r="141" spans="1:9" x14ac:dyDescent="0.2">
      <c r="A141" s="150"/>
      <c r="D141" s="8"/>
      <c r="F141" s="247">
        <v>-2200</v>
      </c>
      <c r="I141" s="144"/>
    </row>
    <row r="142" spans="1:9" ht="13.5" thickBot="1" x14ac:dyDescent="0.25">
      <c r="A142" s="28" t="s">
        <v>43</v>
      </c>
      <c r="B142" s="29"/>
      <c r="C142" s="56">
        <f>SUM(C139:C139)</f>
        <v>7500</v>
      </c>
      <c r="D142" s="29"/>
      <c r="E142" s="56">
        <f>SUM(E138:E140)</f>
        <v>5300</v>
      </c>
      <c r="F142" s="56">
        <f>SUM(F138:F141)</f>
        <v>0</v>
      </c>
      <c r="G142" s="29"/>
      <c r="H142" s="29"/>
      <c r="I142" s="30"/>
    </row>
    <row r="143" spans="1:9" ht="13.5" thickBot="1" x14ac:dyDescent="0.25"/>
    <row r="144" spans="1:9" ht="21" thickBot="1" x14ac:dyDescent="0.25">
      <c r="A144" s="550" t="s">
        <v>489</v>
      </c>
      <c r="B144" s="551"/>
      <c r="C144" s="551"/>
      <c r="D144" s="551"/>
      <c r="E144" s="551"/>
      <c r="F144" s="551"/>
      <c r="G144" s="551"/>
      <c r="H144" s="551"/>
      <c r="I144" s="552"/>
    </row>
    <row r="145" spans="1:9" ht="20.25" x14ac:dyDescent="0.3">
      <c r="A145" s="39"/>
      <c r="B145" s="13" t="s">
        <v>472</v>
      </c>
      <c r="C145" s="13" t="s">
        <v>474</v>
      </c>
      <c r="D145" s="13"/>
      <c r="E145" s="14"/>
      <c r="F145" s="14"/>
      <c r="G145" s="13"/>
      <c r="H145" s="13"/>
      <c r="I145" s="37"/>
    </row>
    <row r="146" spans="1:9" ht="20.25" x14ac:dyDescent="0.3">
      <c r="A146" s="39" t="s">
        <v>477</v>
      </c>
      <c r="B146" s="18">
        <v>31500</v>
      </c>
      <c r="C146" s="18">
        <v>31500</v>
      </c>
      <c r="D146" s="18"/>
      <c r="E146" s="14"/>
      <c r="F146" s="14"/>
      <c r="G146" s="13"/>
      <c r="H146" s="13"/>
      <c r="I146" s="37"/>
    </row>
    <row r="147" spans="1:9" ht="20.25" x14ac:dyDescent="0.3">
      <c r="A147" s="39" t="s">
        <v>36</v>
      </c>
      <c r="B147" s="18">
        <f xml:space="preserve"> IF(B169&gt;30000,30000,B169)</f>
        <v>0</v>
      </c>
      <c r="C147" s="18">
        <f xml:space="preserve"> IF(C169&gt;30000,30000,C169)</f>
        <v>26965.42</v>
      </c>
      <c r="D147" s="18"/>
      <c r="E147" s="14"/>
      <c r="F147" s="14"/>
      <c r="G147" s="13"/>
      <c r="H147" s="13"/>
      <c r="I147" s="37"/>
    </row>
    <row r="148" spans="1:9" ht="20.25" x14ac:dyDescent="0.3">
      <c r="A148" s="39" t="s">
        <v>475</v>
      </c>
      <c r="B148" s="18">
        <f>SUM(B146:B147)</f>
        <v>31500</v>
      </c>
      <c r="C148" s="18">
        <f>SUM(C146:C147)</f>
        <v>58465.42</v>
      </c>
      <c r="D148" s="125" t="s">
        <v>107</v>
      </c>
      <c r="E148" s="14"/>
      <c r="F148" s="14"/>
      <c r="G148" s="13"/>
      <c r="H148" s="13"/>
      <c r="I148" s="37"/>
    </row>
    <row r="149" spans="1:9" ht="20.25" x14ac:dyDescent="0.3">
      <c r="A149" s="39" t="s">
        <v>47</v>
      </c>
      <c r="B149" s="18">
        <f>IF(B170&gt;30000,30000,B170)</f>
        <v>0</v>
      </c>
      <c r="C149" s="18">
        <f>IF(C170&gt;30000,30000,C170)</f>
        <v>16260.419999999998</v>
      </c>
      <c r="D149" s="18"/>
      <c r="E149" s="14"/>
      <c r="F149" s="14"/>
      <c r="G149" s="13"/>
      <c r="H149" s="13"/>
      <c r="I149" s="37"/>
    </row>
    <row r="150" spans="1:9" ht="20.25" x14ac:dyDescent="0.3">
      <c r="A150" s="39" t="s">
        <v>45</v>
      </c>
      <c r="B150" s="18">
        <f>B149+B146</f>
        <v>31500</v>
      </c>
      <c r="C150" s="18">
        <f>C149+C146</f>
        <v>47760.42</v>
      </c>
      <c r="D150" s="146" t="s">
        <v>108</v>
      </c>
      <c r="E150" s="14"/>
      <c r="F150" s="14"/>
      <c r="G150" s="13"/>
      <c r="H150" s="13"/>
      <c r="I150" s="37"/>
    </row>
    <row r="151" spans="1:9" ht="20.25" x14ac:dyDescent="0.3">
      <c r="A151" s="39" t="s">
        <v>39</v>
      </c>
      <c r="B151" s="18">
        <f>B148-E156</f>
        <v>0</v>
      </c>
      <c r="C151" s="18">
        <f>C148-E160</f>
        <v>56465.42</v>
      </c>
      <c r="D151" s="146" t="s">
        <v>109</v>
      </c>
      <c r="E151" s="14"/>
      <c r="F151" s="14"/>
      <c r="G151" s="13"/>
      <c r="H151" s="13"/>
      <c r="I151" s="37"/>
    </row>
    <row r="152" spans="1:9" x14ac:dyDescent="0.2">
      <c r="A152" s="39" t="s">
        <v>35</v>
      </c>
      <c r="B152" s="38">
        <f>B150-E156-F156</f>
        <v>0</v>
      </c>
      <c r="C152" s="44">
        <f>C150-E160-F160</f>
        <v>45760.42</v>
      </c>
      <c r="D152" s="554" t="s">
        <v>110</v>
      </c>
      <c r="E152" s="555"/>
      <c r="F152" s="555"/>
      <c r="G152" s="555"/>
      <c r="H152" s="13"/>
      <c r="I152" s="37"/>
    </row>
    <row r="153" spans="1:9" ht="11.65" customHeight="1" thickBot="1" x14ac:dyDescent="0.35">
      <c r="A153" s="39"/>
      <c r="B153" s="13"/>
      <c r="C153" s="13"/>
      <c r="D153" s="13"/>
      <c r="E153" s="14"/>
      <c r="F153" s="14"/>
      <c r="G153" s="13"/>
      <c r="H153" s="13"/>
      <c r="I153" s="37"/>
    </row>
    <row r="154" spans="1:9" ht="55.5" customHeight="1" x14ac:dyDescent="0.2">
      <c r="A154" s="19" t="s">
        <v>41</v>
      </c>
      <c r="B154" s="20" t="s">
        <v>34</v>
      </c>
      <c r="C154" s="20" t="s">
        <v>64</v>
      </c>
      <c r="D154" s="20" t="s">
        <v>63</v>
      </c>
      <c r="E154" s="20" t="s">
        <v>37</v>
      </c>
      <c r="F154" s="20" t="s">
        <v>48</v>
      </c>
      <c r="G154" s="20" t="s">
        <v>40</v>
      </c>
      <c r="H154" s="20" t="s">
        <v>38</v>
      </c>
      <c r="I154" s="21" t="s">
        <v>5</v>
      </c>
    </row>
    <row r="155" spans="1:9" ht="11.65" customHeight="1" x14ac:dyDescent="0.2">
      <c r="A155" s="22" t="s">
        <v>10</v>
      </c>
      <c r="B155" s="23" t="s">
        <v>10</v>
      </c>
      <c r="C155" s="57">
        <v>31500</v>
      </c>
      <c r="D155" s="50"/>
      <c r="E155" s="57">
        <v>31500</v>
      </c>
      <c r="F155" s="57"/>
      <c r="G155" s="23" t="s">
        <v>492</v>
      </c>
      <c r="H155" s="23" t="s">
        <v>493</v>
      </c>
      <c r="I155" s="24"/>
    </row>
    <row r="156" spans="1:9" ht="11.65" customHeight="1" x14ac:dyDescent="0.2">
      <c r="A156" s="25" t="s">
        <v>43</v>
      </c>
      <c r="B156" s="26"/>
      <c r="C156" s="61">
        <f>C155</f>
        <v>31500</v>
      </c>
      <c r="D156" s="26"/>
      <c r="E156" s="61">
        <f>E155</f>
        <v>31500</v>
      </c>
      <c r="F156" s="61">
        <f>F155</f>
        <v>0</v>
      </c>
      <c r="G156" s="26"/>
      <c r="H156" s="26"/>
      <c r="I156" s="27"/>
    </row>
    <row r="157" spans="1:9" ht="11.65" customHeight="1" x14ac:dyDescent="0.2">
      <c r="A157" s="33"/>
      <c r="B157" s="33"/>
      <c r="C157" s="59"/>
      <c r="D157" s="33"/>
      <c r="E157" s="59"/>
      <c r="F157" s="59"/>
      <c r="G157" s="33"/>
      <c r="H157" s="33"/>
      <c r="I157" s="33"/>
    </row>
    <row r="158" spans="1:9" ht="25.5" customHeight="1" x14ac:dyDescent="0.2">
      <c r="A158" s="25" t="s">
        <v>42</v>
      </c>
      <c r="B158" s="138"/>
      <c r="C158" s="142"/>
      <c r="D158" s="136"/>
      <c r="E158" s="58"/>
      <c r="F158" s="83"/>
      <c r="G158" s="138"/>
      <c r="H158" s="135"/>
      <c r="I158" s="43" t="s">
        <v>584</v>
      </c>
    </row>
    <row r="159" spans="1:9" ht="11.65" customHeight="1" x14ac:dyDescent="0.2">
      <c r="A159" s="150"/>
      <c r="B159" s="135" t="s">
        <v>10</v>
      </c>
      <c r="C159" s="142">
        <v>2000</v>
      </c>
      <c r="D159" s="136" t="s">
        <v>523</v>
      </c>
      <c r="E159" s="151">
        <v>2000</v>
      </c>
      <c r="F159" s="82">
        <v>0</v>
      </c>
      <c r="G159" s="135" t="s">
        <v>553</v>
      </c>
      <c r="H159" s="135" t="s">
        <v>518</v>
      </c>
      <c r="I159" s="144"/>
    </row>
    <row r="160" spans="1:9" ht="13.5" thickBot="1" x14ac:dyDescent="0.25">
      <c r="A160" s="28" t="s">
        <v>43</v>
      </c>
      <c r="B160" s="29"/>
      <c r="C160" s="56">
        <f>SUM(C159:C159)</f>
        <v>2000</v>
      </c>
      <c r="D160" s="29"/>
      <c r="E160" s="56">
        <f>SUM(E158:E159)</f>
        <v>2000</v>
      </c>
      <c r="F160" s="56">
        <f>SUM(F158:F159)</f>
        <v>0</v>
      </c>
      <c r="G160" s="29"/>
      <c r="H160" s="29"/>
      <c r="I160" s="30"/>
    </row>
    <row r="161" spans="1:9" ht="13.5" thickBot="1" x14ac:dyDescent="0.25"/>
    <row r="162" spans="1:9" ht="21" thickBot="1" x14ac:dyDescent="0.25">
      <c r="A162" s="550" t="s">
        <v>332</v>
      </c>
      <c r="B162" s="551"/>
      <c r="C162" s="551"/>
      <c r="D162" s="551"/>
      <c r="E162" s="551"/>
      <c r="F162" s="551"/>
      <c r="G162" s="551"/>
      <c r="H162" s="551"/>
      <c r="I162" s="552"/>
    </row>
    <row r="163" spans="1:9" ht="20.25" x14ac:dyDescent="0.3">
      <c r="A163" s="39"/>
      <c r="B163" s="13" t="s">
        <v>322</v>
      </c>
      <c r="C163" s="13" t="s">
        <v>324</v>
      </c>
      <c r="D163" s="13"/>
      <c r="E163" s="14"/>
      <c r="F163" s="14"/>
      <c r="G163" s="13"/>
      <c r="H163" s="13"/>
      <c r="I163" s="37"/>
    </row>
    <row r="164" spans="1:9" ht="20.25" x14ac:dyDescent="0.3">
      <c r="A164" s="39" t="s">
        <v>328</v>
      </c>
      <c r="B164" s="18">
        <v>31500</v>
      </c>
      <c r="C164" s="18">
        <v>31500</v>
      </c>
      <c r="D164" s="18"/>
      <c r="E164" s="14"/>
      <c r="F164" s="14"/>
      <c r="G164" s="13"/>
      <c r="H164" s="13"/>
      <c r="I164" s="37"/>
    </row>
    <row r="165" spans="1:9" ht="20.25" x14ac:dyDescent="0.3">
      <c r="A165" s="39" t="s">
        <v>36</v>
      </c>
      <c r="B165" s="18">
        <f xml:space="preserve"> IF(B201&gt;30000,30000,B201)</f>
        <v>0</v>
      </c>
      <c r="C165" s="18">
        <f xml:space="preserve"> IF(C201&gt;30000,30000,C201)</f>
        <v>26324.42</v>
      </c>
      <c r="D165" s="18"/>
      <c r="E165" s="14"/>
      <c r="F165" s="14"/>
      <c r="G165" s="13"/>
      <c r="H165" s="13"/>
      <c r="I165" s="37"/>
    </row>
    <row r="166" spans="1:9" ht="20.25" x14ac:dyDescent="0.3">
      <c r="A166" s="39" t="s">
        <v>325</v>
      </c>
      <c r="B166" s="18">
        <f>SUM(B164:B165)</f>
        <v>31500</v>
      </c>
      <c r="C166" s="18">
        <f>SUM(C164:C165)</f>
        <v>57824.42</v>
      </c>
      <c r="D166" s="125" t="s">
        <v>107</v>
      </c>
      <c r="E166" s="14"/>
      <c r="F166" s="14"/>
      <c r="G166" s="13"/>
      <c r="H166" s="13"/>
      <c r="I166" s="37"/>
    </row>
    <row r="167" spans="1:9" ht="20.25" x14ac:dyDescent="0.3">
      <c r="A167" s="39" t="s">
        <v>47</v>
      </c>
      <c r="B167" s="18">
        <f>IF(B202&gt;30000,30000,B202)</f>
        <v>0</v>
      </c>
      <c r="C167" s="18">
        <f>IF(C202&gt;30000,30000,C202)</f>
        <v>26324.42</v>
      </c>
      <c r="D167" s="18"/>
      <c r="E167" s="14"/>
      <c r="F167" s="14"/>
      <c r="G167" s="13"/>
      <c r="H167" s="13"/>
      <c r="I167" s="37"/>
    </row>
    <row r="168" spans="1:9" ht="20.25" x14ac:dyDescent="0.3">
      <c r="A168" s="39" t="s">
        <v>45</v>
      </c>
      <c r="B168" s="18">
        <f>B167+B164</f>
        <v>31500</v>
      </c>
      <c r="C168" s="18">
        <f>C167+C164</f>
        <v>57824.42</v>
      </c>
      <c r="D168" s="146" t="s">
        <v>108</v>
      </c>
      <c r="E168" s="14"/>
      <c r="F168" s="14"/>
      <c r="G168" s="13"/>
      <c r="H168" s="13"/>
      <c r="I168" s="37"/>
    </row>
    <row r="169" spans="1:9" ht="20.25" x14ac:dyDescent="0.3">
      <c r="A169" s="39" t="s">
        <v>39</v>
      </c>
      <c r="B169" s="18">
        <f>B166-E174</f>
        <v>0</v>
      </c>
      <c r="C169" s="18">
        <f>C166-E192</f>
        <v>26965.42</v>
      </c>
      <c r="D169" s="146" t="s">
        <v>109</v>
      </c>
      <c r="E169" s="14"/>
      <c r="F169" s="14"/>
      <c r="G169" s="13"/>
      <c r="H169" s="13"/>
      <c r="I169" s="37"/>
    </row>
    <row r="170" spans="1:9" x14ac:dyDescent="0.2">
      <c r="A170" s="39" t="s">
        <v>35</v>
      </c>
      <c r="B170" s="38">
        <f>B168-E174-F174</f>
        <v>0</v>
      </c>
      <c r="C170" s="44">
        <f>C168-E192-F192</f>
        <v>16260.419999999998</v>
      </c>
      <c r="D170" s="554" t="s">
        <v>110</v>
      </c>
      <c r="E170" s="555"/>
      <c r="F170" s="555"/>
      <c r="G170" s="555"/>
      <c r="H170" s="13"/>
      <c r="I170" s="37"/>
    </row>
    <row r="171" spans="1:9" ht="21" thickBot="1" x14ac:dyDescent="0.35">
      <c r="A171" s="39"/>
      <c r="B171" s="13"/>
      <c r="C171" s="13"/>
      <c r="D171" s="13"/>
      <c r="E171" s="14"/>
      <c r="F171" s="14"/>
      <c r="G171" s="13"/>
      <c r="H171" s="13"/>
      <c r="I171" s="37"/>
    </row>
    <row r="172" spans="1:9" ht="51" x14ac:dyDescent="0.2">
      <c r="A172" s="19" t="s">
        <v>41</v>
      </c>
      <c r="B172" s="20" t="s">
        <v>34</v>
      </c>
      <c r="C172" s="20" t="s">
        <v>64</v>
      </c>
      <c r="D172" s="20" t="s">
        <v>63</v>
      </c>
      <c r="E172" s="20" t="s">
        <v>37</v>
      </c>
      <c r="F172" s="20" t="s">
        <v>48</v>
      </c>
      <c r="G172" s="20" t="s">
        <v>40</v>
      </c>
      <c r="H172" s="20" t="s">
        <v>38</v>
      </c>
      <c r="I172" s="21" t="s">
        <v>5</v>
      </c>
    </row>
    <row r="173" spans="1:9" x14ac:dyDescent="0.2">
      <c r="A173" s="22" t="s">
        <v>10</v>
      </c>
      <c r="B173" s="23" t="s">
        <v>10</v>
      </c>
      <c r="C173" s="57">
        <v>31500</v>
      </c>
      <c r="D173" s="50">
        <v>42740</v>
      </c>
      <c r="E173" s="57">
        <v>31500</v>
      </c>
      <c r="F173" s="57"/>
      <c r="G173" s="23" t="s">
        <v>356</v>
      </c>
      <c r="H173" s="23" t="s">
        <v>357</v>
      </c>
      <c r="I173" s="24"/>
    </row>
    <row r="174" spans="1:9" x14ac:dyDescent="0.2">
      <c r="A174" s="25" t="s">
        <v>43</v>
      </c>
      <c r="B174" s="26"/>
      <c r="C174" s="61">
        <f>C173</f>
        <v>31500</v>
      </c>
      <c r="D174" s="26"/>
      <c r="E174" s="61">
        <f>E173</f>
        <v>31500</v>
      </c>
      <c r="F174" s="61">
        <f>F173</f>
        <v>0</v>
      </c>
      <c r="G174" s="26"/>
      <c r="H174" s="26"/>
      <c r="I174" s="27"/>
    </row>
    <row r="175" spans="1:9" x14ac:dyDescent="0.2">
      <c r="A175" s="33"/>
      <c r="B175" s="33"/>
      <c r="C175" s="59"/>
      <c r="D175" s="33"/>
      <c r="E175" s="59"/>
      <c r="F175" s="59"/>
      <c r="G175" s="33"/>
      <c r="H175" s="33"/>
      <c r="I175" s="33"/>
    </row>
    <row r="176" spans="1:9" x14ac:dyDescent="0.2">
      <c r="A176" s="25" t="s">
        <v>42</v>
      </c>
      <c r="B176" s="138"/>
      <c r="C176" s="142"/>
      <c r="D176" s="136"/>
      <c r="E176" s="58"/>
      <c r="F176" s="83"/>
      <c r="G176" s="138"/>
      <c r="H176" s="135"/>
      <c r="I176" s="80"/>
    </row>
    <row r="177" spans="1:9" x14ac:dyDescent="0.2">
      <c r="A177" s="150"/>
      <c r="B177" s="135" t="s">
        <v>10</v>
      </c>
      <c r="C177" s="142">
        <v>5000</v>
      </c>
      <c r="D177" s="136" t="s">
        <v>369</v>
      </c>
      <c r="E177" s="151">
        <v>591</v>
      </c>
      <c r="F177" s="82">
        <f>C177-E177</f>
        <v>4409</v>
      </c>
      <c r="G177" s="135" t="s">
        <v>447</v>
      </c>
      <c r="H177" s="135" t="s">
        <v>364</v>
      </c>
      <c r="I177" s="144"/>
    </row>
    <row r="178" spans="1:9" x14ac:dyDescent="0.2">
      <c r="A178" s="150"/>
      <c r="B178" s="135"/>
      <c r="C178" s="142"/>
      <c r="D178" s="136"/>
      <c r="E178" s="151"/>
      <c r="F178" s="82">
        <v>-4409</v>
      </c>
      <c r="G178" s="135"/>
      <c r="H178" s="135"/>
      <c r="I178" s="144" t="s">
        <v>444</v>
      </c>
    </row>
    <row r="179" spans="1:9" x14ac:dyDescent="0.2">
      <c r="A179" s="150"/>
      <c r="B179" s="135" t="s">
        <v>10</v>
      </c>
      <c r="C179" s="142">
        <v>3000</v>
      </c>
      <c r="D179" s="136" t="s">
        <v>371</v>
      </c>
      <c r="E179" s="151">
        <v>3000</v>
      </c>
      <c r="F179" s="82">
        <f>C179-E179</f>
        <v>0</v>
      </c>
      <c r="G179" s="214" t="s">
        <v>506</v>
      </c>
      <c r="H179" s="135" t="s">
        <v>365</v>
      </c>
      <c r="I179" s="81"/>
    </row>
    <row r="180" spans="1:9" x14ac:dyDescent="0.2">
      <c r="A180" s="150"/>
      <c r="B180" s="135" t="s">
        <v>10</v>
      </c>
      <c r="C180" s="142">
        <v>4000</v>
      </c>
      <c r="D180" s="136" t="s">
        <v>372</v>
      </c>
      <c r="E180" s="142">
        <v>4000</v>
      </c>
      <c r="F180" s="82">
        <f>C180-E180</f>
        <v>0</v>
      </c>
      <c r="G180" s="135" t="s">
        <v>426</v>
      </c>
      <c r="H180" s="135" t="s">
        <v>366</v>
      </c>
      <c r="I180" s="144"/>
    </row>
    <row r="181" spans="1:9" x14ac:dyDescent="0.2">
      <c r="A181" s="150"/>
      <c r="B181" s="166" t="s">
        <v>10</v>
      </c>
      <c r="C181" s="142">
        <v>10000</v>
      </c>
      <c r="D181" s="166" t="s">
        <v>422</v>
      </c>
      <c r="E181" s="142">
        <v>4003</v>
      </c>
      <c r="F181" s="82">
        <f>C181-E181</f>
        <v>5997</v>
      </c>
      <c r="G181" s="166" t="s">
        <v>433</v>
      </c>
      <c r="H181" s="166" t="s">
        <v>420</v>
      </c>
      <c r="I181" s="144"/>
    </row>
    <row r="182" spans="1:9" x14ac:dyDescent="0.2">
      <c r="A182" s="150"/>
      <c r="B182" s="170"/>
      <c r="C182" s="142"/>
      <c r="D182" s="170"/>
      <c r="E182" s="191"/>
      <c r="F182" s="82">
        <v>-5997</v>
      </c>
      <c r="G182" s="170"/>
      <c r="H182" s="170"/>
      <c r="I182" s="144"/>
    </row>
    <row r="183" spans="1:9" x14ac:dyDescent="0.2">
      <c r="A183" s="150"/>
      <c r="B183" s="170" t="s">
        <v>10</v>
      </c>
      <c r="C183" s="142">
        <v>4800</v>
      </c>
      <c r="D183" s="170" t="s">
        <v>423</v>
      </c>
      <c r="E183" s="142">
        <v>4440</v>
      </c>
      <c r="F183" s="82">
        <f>C183-E183</f>
        <v>360</v>
      </c>
      <c r="G183" s="170" t="s">
        <v>430</v>
      </c>
      <c r="H183" s="170" t="s">
        <v>421</v>
      </c>
      <c r="I183" s="144"/>
    </row>
    <row r="184" spans="1:9" x14ac:dyDescent="0.2">
      <c r="A184" s="150"/>
      <c r="B184" s="170"/>
      <c r="C184" s="142"/>
      <c r="D184" s="170"/>
      <c r="E184" s="142"/>
      <c r="F184" s="82">
        <v>-360</v>
      </c>
      <c r="G184" s="170"/>
      <c r="H184" s="170"/>
      <c r="I184" s="144"/>
    </row>
    <row r="185" spans="1:9" x14ac:dyDescent="0.2">
      <c r="A185" s="150"/>
      <c r="B185" s="170" t="s">
        <v>10</v>
      </c>
      <c r="C185" s="142">
        <v>15000</v>
      </c>
      <c r="D185" s="170" t="s">
        <v>466</v>
      </c>
      <c r="E185" s="142">
        <v>3920</v>
      </c>
      <c r="F185" s="82">
        <f>C185-E185</f>
        <v>11080</v>
      </c>
      <c r="G185" s="170" t="s">
        <v>547</v>
      </c>
      <c r="H185" s="170" t="s">
        <v>465</v>
      </c>
      <c r="I185" s="144"/>
    </row>
    <row r="186" spans="1:9" x14ac:dyDescent="0.2">
      <c r="A186" s="150"/>
      <c r="B186" s="170"/>
      <c r="C186" s="142"/>
      <c r="D186" s="170"/>
      <c r="E186" s="142"/>
      <c r="F186" s="82">
        <v>-11080</v>
      </c>
      <c r="G186" s="170"/>
      <c r="H186" s="170"/>
      <c r="I186" s="144" t="s">
        <v>444</v>
      </c>
    </row>
    <row r="187" spans="1:9" x14ac:dyDescent="0.2">
      <c r="A187" s="150"/>
      <c r="B187" s="172" t="s">
        <v>10</v>
      </c>
      <c r="C187" s="142">
        <v>4000</v>
      </c>
      <c r="D187" s="172" t="s">
        <v>502</v>
      </c>
      <c r="E187" s="142">
        <v>1610</v>
      </c>
      <c r="F187" s="82">
        <v>2390</v>
      </c>
      <c r="G187" s="170" t="s">
        <v>593</v>
      </c>
      <c r="H187" s="172" t="s">
        <v>503</v>
      </c>
      <c r="I187" s="144"/>
    </row>
    <row r="188" spans="1:9" x14ac:dyDescent="0.2">
      <c r="A188" s="150"/>
      <c r="B188" s="172"/>
      <c r="C188" s="142"/>
      <c r="D188" s="172"/>
      <c r="E188" s="142"/>
      <c r="F188" s="82">
        <v>-2390</v>
      </c>
      <c r="G188" s="170"/>
      <c r="H188" s="172"/>
      <c r="I188" s="144" t="s">
        <v>444</v>
      </c>
    </row>
    <row r="189" spans="1:9" x14ac:dyDescent="0.2">
      <c r="A189" s="150"/>
      <c r="B189" s="170" t="s">
        <v>10</v>
      </c>
      <c r="C189" s="142">
        <v>20000</v>
      </c>
      <c r="D189" s="170" t="s">
        <v>437</v>
      </c>
      <c r="E189" s="142">
        <v>9295</v>
      </c>
      <c r="F189" s="82">
        <f>C189-E189</f>
        <v>10705</v>
      </c>
      <c r="G189" s="170" t="s">
        <v>467</v>
      </c>
      <c r="H189" s="170" t="s">
        <v>436</v>
      </c>
      <c r="I189" s="144" t="s">
        <v>281</v>
      </c>
    </row>
    <row r="190" spans="1:9" x14ac:dyDescent="0.2">
      <c r="A190" s="150"/>
      <c r="B190" s="170"/>
      <c r="C190" s="142"/>
      <c r="D190" s="170"/>
      <c r="E190" s="142">
        <v>4510</v>
      </c>
      <c r="F190" s="82">
        <f>F189-E190</f>
        <v>6195</v>
      </c>
      <c r="G190" s="172" t="s">
        <v>544</v>
      </c>
      <c r="H190" s="170"/>
      <c r="I190" s="144" t="s">
        <v>543</v>
      </c>
    </row>
    <row r="191" spans="1:9" x14ac:dyDescent="0.2">
      <c r="A191" s="150"/>
      <c r="B191" s="170"/>
      <c r="C191" s="142"/>
      <c r="D191" s="170"/>
      <c r="E191" s="142"/>
      <c r="F191" s="82">
        <v>-6195</v>
      </c>
      <c r="G191" s="170"/>
      <c r="H191" s="170"/>
      <c r="I191" s="144" t="s">
        <v>515</v>
      </c>
    </row>
    <row r="192" spans="1:9" ht="13.5" thickBot="1" x14ac:dyDescent="0.25">
      <c r="A192" s="28" t="s">
        <v>43</v>
      </c>
      <c r="B192" s="29"/>
      <c r="C192" s="56">
        <f>SUM(C177:C189)</f>
        <v>65800</v>
      </c>
      <c r="D192" s="29"/>
      <c r="E192" s="56">
        <f>SUM(E176:E189)</f>
        <v>30859</v>
      </c>
      <c r="F192" s="56">
        <f>SUM(F176:F189)</f>
        <v>10705</v>
      </c>
      <c r="G192" s="29"/>
      <c r="H192" s="29"/>
      <c r="I192" s="30"/>
    </row>
    <row r="193" spans="1:9" ht="13.5" thickBot="1" x14ac:dyDescent="0.25"/>
    <row r="194" spans="1:9" ht="21" thickBot="1" x14ac:dyDescent="0.25">
      <c r="A194" s="550" t="s">
        <v>219</v>
      </c>
      <c r="B194" s="551"/>
      <c r="C194" s="551"/>
      <c r="D194" s="551"/>
      <c r="E194" s="551"/>
      <c r="F194" s="551"/>
      <c r="G194" s="551"/>
      <c r="H194" s="551"/>
      <c r="I194" s="552"/>
    </row>
    <row r="195" spans="1:9" ht="20.25" x14ac:dyDescent="0.3">
      <c r="A195" s="39"/>
      <c r="B195" s="13" t="s">
        <v>208</v>
      </c>
      <c r="C195" s="13" t="s">
        <v>210</v>
      </c>
      <c r="D195" s="13"/>
      <c r="E195" s="14"/>
      <c r="F195" s="14"/>
      <c r="G195" s="13"/>
      <c r="H195" s="13"/>
      <c r="I195" s="37"/>
    </row>
    <row r="196" spans="1:9" ht="20.25" x14ac:dyDescent="0.3">
      <c r="A196" s="39" t="s">
        <v>214</v>
      </c>
      <c r="B196" s="18">
        <v>31500</v>
      </c>
      <c r="C196" s="18">
        <v>31500</v>
      </c>
      <c r="D196" s="18"/>
      <c r="E196" s="14"/>
      <c r="F196" s="14"/>
      <c r="G196" s="13"/>
      <c r="H196" s="13"/>
      <c r="I196" s="37"/>
    </row>
    <row r="197" spans="1:9" ht="20.25" x14ac:dyDescent="0.3">
      <c r="A197" s="39" t="s">
        <v>36</v>
      </c>
      <c r="B197" s="18">
        <f>IF(B223&gt;30000,30000, B223)</f>
        <v>0</v>
      </c>
      <c r="C197" s="18">
        <f>IF(C224&gt;30000,30000, C224)</f>
        <v>30000</v>
      </c>
      <c r="D197" s="18"/>
      <c r="E197" s="14"/>
      <c r="F197" s="14"/>
      <c r="G197" s="13"/>
      <c r="H197" s="13"/>
      <c r="I197" s="37"/>
    </row>
    <row r="198" spans="1:9" ht="20.25" x14ac:dyDescent="0.3">
      <c r="A198" s="39" t="s">
        <v>211</v>
      </c>
      <c r="B198" s="18">
        <f>SUM(B196:B197)</f>
        <v>31500</v>
      </c>
      <c r="C198" s="18">
        <f>SUM(C196:C197)</f>
        <v>61500</v>
      </c>
      <c r="D198" s="125" t="s">
        <v>107</v>
      </c>
      <c r="E198" s="14"/>
      <c r="F198" s="14"/>
      <c r="G198" s="13"/>
      <c r="H198" s="13"/>
      <c r="I198" s="37"/>
    </row>
    <row r="199" spans="1:9" ht="20.25" x14ac:dyDescent="0.3">
      <c r="A199" s="39" t="s">
        <v>47</v>
      </c>
      <c r="B199" s="18">
        <f>IF(B224&gt;30000,30000,B224)</f>
        <v>0</v>
      </c>
      <c r="C199" s="18">
        <f>IF(C224&gt;30000,30000,C224)</f>
        <v>30000</v>
      </c>
      <c r="D199" s="18"/>
      <c r="E199" s="14"/>
      <c r="F199" s="14"/>
      <c r="G199" s="13"/>
      <c r="H199" s="13"/>
      <c r="I199" s="37"/>
    </row>
    <row r="200" spans="1:9" ht="20.25" x14ac:dyDescent="0.3">
      <c r="A200" s="39" t="s">
        <v>45</v>
      </c>
      <c r="B200" s="18">
        <f>B199+B196</f>
        <v>31500</v>
      </c>
      <c r="C200" s="18">
        <f>C199+C196</f>
        <v>61500</v>
      </c>
      <c r="D200" s="146" t="s">
        <v>108</v>
      </c>
      <c r="E200" s="14"/>
      <c r="F200" s="14"/>
      <c r="G200" s="13"/>
      <c r="H200" s="13"/>
      <c r="I200" s="37"/>
    </row>
    <row r="201" spans="1:9" ht="20.25" x14ac:dyDescent="0.3">
      <c r="A201" s="39" t="s">
        <v>39</v>
      </c>
      <c r="B201" s="18">
        <f>B198-E206</f>
        <v>0</v>
      </c>
      <c r="C201" s="18">
        <f>C198-E214</f>
        <v>26324.42</v>
      </c>
      <c r="D201" s="146" t="s">
        <v>109</v>
      </c>
      <c r="E201" s="14"/>
      <c r="F201" s="14"/>
      <c r="G201" s="13"/>
      <c r="H201" s="13"/>
      <c r="I201" s="37"/>
    </row>
    <row r="202" spans="1:9" x14ac:dyDescent="0.2">
      <c r="A202" s="39" t="s">
        <v>35</v>
      </c>
      <c r="B202" s="38">
        <f>B200-E206-F206</f>
        <v>0</v>
      </c>
      <c r="C202" s="44">
        <f>C200-E214-F214</f>
        <v>26324.42</v>
      </c>
      <c r="D202" s="554" t="s">
        <v>110</v>
      </c>
      <c r="E202" s="555"/>
      <c r="F202" s="555"/>
      <c r="G202" s="555"/>
      <c r="H202" s="13"/>
      <c r="I202" s="37"/>
    </row>
    <row r="203" spans="1:9" ht="21" thickBot="1" x14ac:dyDescent="0.35">
      <c r="A203" s="39"/>
      <c r="B203" s="13"/>
      <c r="C203" s="13"/>
      <c r="D203" s="13"/>
      <c r="E203" s="14"/>
      <c r="F203" s="14"/>
      <c r="G203" s="13"/>
      <c r="H203" s="13"/>
      <c r="I203" s="37"/>
    </row>
    <row r="204" spans="1:9" ht="51" x14ac:dyDescent="0.2">
      <c r="A204" s="19" t="s">
        <v>41</v>
      </c>
      <c r="B204" s="20" t="s">
        <v>34</v>
      </c>
      <c r="C204" s="20" t="s">
        <v>64</v>
      </c>
      <c r="D204" s="20" t="s">
        <v>63</v>
      </c>
      <c r="E204" s="20" t="s">
        <v>37</v>
      </c>
      <c r="F204" s="20" t="s">
        <v>48</v>
      </c>
      <c r="G204" s="20" t="s">
        <v>40</v>
      </c>
      <c r="H204" s="20" t="s">
        <v>38</v>
      </c>
      <c r="I204" s="21" t="s">
        <v>5</v>
      </c>
    </row>
    <row r="205" spans="1:9" x14ac:dyDescent="0.2">
      <c r="A205" s="22" t="s">
        <v>10</v>
      </c>
      <c r="B205" s="23" t="s">
        <v>10</v>
      </c>
      <c r="C205" s="57">
        <v>31500</v>
      </c>
      <c r="D205" s="50">
        <v>42403</v>
      </c>
      <c r="E205" s="57">
        <v>31500</v>
      </c>
      <c r="F205" s="57">
        <v>0</v>
      </c>
      <c r="G205" s="23" t="s">
        <v>294</v>
      </c>
      <c r="H205" s="23" t="s">
        <v>237</v>
      </c>
      <c r="I205" s="24"/>
    </row>
    <row r="206" spans="1:9" x14ac:dyDescent="0.2">
      <c r="A206" s="25" t="s">
        <v>43</v>
      </c>
      <c r="B206" s="26"/>
      <c r="C206" s="61">
        <f>C205</f>
        <v>31500</v>
      </c>
      <c r="D206" s="26"/>
      <c r="E206" s="61">
        <f>E205</f>
        <v>31500</v>
      </c>
      <c r="F206" s="61">
        <f>F205</f>
        <v>0</v>
      </c>
      <c r="G206" s="26"/>
      <c r="H206" s="26"/>
      <c r="I206" s="27"/>
    </row>
    <row r="207" spans="1:9" x14ac:dyDescent="0.2">
      <c r="A207" s="33"/>
      <c r="B207" s="33"/>
      <c r="C207" s="59"/>
      <c r="D207" s="33"/>
      <c r="E207" s="59"/>
      <c r="F207" s="59"/>
      <c r="G207" s="33"/>
      <c r="H207" s="33"/>
      <c r="I207" s="33"/>
    </row>
    <row r="208" spans="1:9" x14ac:dyDescent="0.2">
      <c r="A208" s="25" t="s">
        <v>42</v>
      </c>
      <c r="B208" s="138"/>
      <c r="C208" s="142"/>
      <c r="D208" s="136"/>
      <c r="E208" s="58"/>
      <c r="F208" s="83"/>
      <c r="G208" s="138"/>
      <c r="H208" s="135"/>
      <c r="I208" s="80"/>
    </row>
    <row r="209" spans="1:9" x14ac:dyDescent="0.2">
      <c r="A209" s="150"/>
      <c r="B209" s="135" t="s">
        <v>10</v>
      </c>
      <c r="C209" s="142">
        <v>30000</v>
      </c>
      <c r="D209" s="136" t="s">
        <v>279</v>
      </c>
      <c r="E209" s="151">
        <v>30000</v>
      </c>
      <c r="F209" s="82">
        <f>C209-E209</f>
        <v>0</v>
      </c>
      <c r="G209" s="135" t="s">
        <v>292</v>
      </c>
      <c r="H209" s="135" t="s">
        <v>245</v>
      </c>
      <c r="I209" s="144" t="s">
        <v>100</v>
      </c>
    </row>
    <row r="210" spans="1:9" x14ac:dyDescent="0.2">
      <c r="A210" s="150"/>
      <c r="B210" s="135" t="s">
        <v>10</v>
      </c>
      <c r="C210" s="142">
        <v>6000</v>
      </c>
      <c r="D210" s="136" t="s">
        <v>248</v>
      </c>
      <c r="E210" s="151">
        <v>2774.58</v>
      </c>
      <c r="F210" s="82">
        <f>C210-E210-E211</f>
        <v>2768.42</v>
      </c>
      <c r="G210" s="135" t="s">
        <v>451</v>
      </c>
      <c r="H210" s="135" t="s">
        <v>247</v>
      </c>
      <c r="I210" s="144" t="s">
        <v>188</v>
      </c>
    </row>
    <row r="211" spans="1:9" x14ac:dyDescent="0.2">
      <c r="A211" s="150"/>
      <c r="B211" s="135"/>
      <c r="C211" s="142"/>
      <c r="D211" s="136"/>
      <c r="E211" s="151">
        <v>457</v>
      </c>
      <c r="F211" s="82">
        <v>-2768.42</v>
      </c>
      <c r="G211" s="223" t="s">
        <v>580</v>
      </c>
      <c r="H211" s="135"/>
      <c r="I211" s="144" t="s">
        <v>578</v>
      </c>
    </row>
    <row r="212" spans="1:9" x14ac:dyDescent="0.2">
      <c r="A212" s="150"/>
      <c r="B212" s="559" t="s">
        <v>10</v>
      </c>
      <c r="C212" s="562">
        <v>2000</v>
      </c>
      <c r="D212" s="565" t="s">
        <v>249</v>
      </c>
      <c r="E212" s="562">
        <v>1944</v>
      </c>
      <c r="F212" s="82">
        <f>C212-E212</f>
        <v>56</v>
      </c>
      <c r="G212" s="559" t="s">
        <v>290</v>
      </c>
      <c r="H212" s="559" t="s">
        <v>193</v>
      </c>
      <c r="I212" s="144" t="s">
        <v>287</v>
      </c>
    </row>
    <row r="213" spans="1:9" x14ac:dyDescent="0.2">
      <c r="A213" s="150"/>
      <c r="B213" s="561"/>
      <c r="C213" s="564"/>
      <c r="D213" s="561"/>
      <c r="E213" s="564"/>
      <c r="F213" s="82">
        <v>-56</v>
      </c>
      <c r="G213" s="561"/>
      <c r="H213" s="561"/>
      <c r="I213" s="144" t="s">
        <v>288</v>
      </c>
    </row>
    <row r="214" spans="1:9" ht="13.5" thickBot="1" x14ac:dyDescent="0.25">
      <c r="A214" s="28" t="s">
        <v>43</v>
      </c>
      <c r="B214" s="29"/>
      <c r="C214" s="56">
        <f>SUM(C209:C213)</f>
        <v>38000</v>
      </c>
      <c r="D214" s="29"/>
      <c r="E214" s="56">
        <f>SUM(E208:E213)</f>
        <v>35175.58</v>
      </c>
      <c r="F214" s="56">
        <f>SUM(F208:F213)</f>
        <v>0</v>
      </c>
      <c r="G214" s="29"/>
      <c r="H214" s="29"/>
      <c r="I214" s="30"/>
    </row>
    <row r="215" spans="1:9" ht="13.5" thickBot="1" x14ac:dyDescent="0.25"/>
    <row r="216" spans="1:9" ht="21" thickBot="1" x14ac:dyDescent="0.25">
      <c r="A216" s="550" t="s">
        <v>128</v>
      </c>
      <c r="B216" s="551"/>
      <c r="C216" s="551"/>
      <c r="D216" s="551"/>
      <c r="E216" s="551"/>
      <c r="F216" s="551"/>
      <c r="G216" s="551"/>
      <c r="H216" s="551"/>
      <c r="I216" s="552"/>
    </row>
    <row r="217" spans="1:9" ht="20.25" x14ac:dyDescent="0.3">
      <c r="A217" s="39"/>
      <c r="B217" s="13" t="s">
        <v>118</v>
      </c>
      <c r="C217" s="13" t="s">
        <v>120</v>
      </c>
      <c r="D217" s="13"/>
      <c r="E217" s="14"/>
      <c r="F217" s="14"/>
      <c r="G217" s="13"/>
      <c r="H217" s="13"/>
      <c r="I217" s="37"/>
    </row>
    <row r="218" spans="1:9" ht="20.25" x14ac:dyDescent="0.3">
      <c r="A218" s="39" t="s">
        <v>124</v>
      </c>
      <c r="B218" s="18">
        <v>30000</v>
      </c>
      <c r="C218" s="18">
        <v>30000</v>
      </c>
      <c r="D218" s="18"/>
      <c r="E218" s="14"/>
      <c r="F218" s="14"/>
      <c r="G218" s="13"/>
      <c r="H218" s="13"/>
      <c r="I218" s="37"/>
    </row>
    <row r="219" spans="1:9" ht="20.25" x14ac:dyDescent="0.3">
      <c r="A219" s="39" t="s">
        <v>36</v>
      </c>
      <c r="B219" s="18">
        <v>0</v>
      </c>
      <c r="C219" s="18">
        <v>30000</v>
      </c>
      <c r="D219" s="18"/>
      <c r="E219" s="14"/>
      <c r="F219" s="14"/>
      <c r="G219" s="13"/>
      <c r="H219" s="13"/>
      <c r="I219" s="37"/>
    </row>
    <row r="220" spans="1:9" ht="20.25" x14ac:dyDescent="0.3">
      <c r="A220" s="39" t="s">
        <v>121</v>
      </c>
      <c r="B220" s="18">
        <f>SUM(B218:B219)</f>
        <v>30000</v>
      </c>
      <c r="C220" s="18">
        <f>SUM(C218:C219)</f>
        <v>60000</v>
      </c>
      <c r="D220" s="125" t="s">
        <v>107</v>
      </c>
      <c r="E220" s="14"/>
      <c r="F220" s="14"/>
      <c r="G220" s="13"/>
      <c r="H220" s="13"/>
      <c r="I220" s="37"/>
    </row>
    <row r="221" spans="1:9" ht="20.25" x14ac:dyDescent="0.3">
      <c r="A221" s="39" t="s">
        <v>47</v>
      </c>
      <c r="B221" s="18">
        <v>0</v>
      </c>
      <c r="C221" s="18">
        <v>30000</v>
      </c>
      <c r="D221" s="18"/>
      <c r="E221" s="14"/>
      <c r="F221" s="14"/>
      <c r="G221" s="13"/>
      <c r="H221" s="13"/>
      <c r="I221" s="37"/>
    </row>
    <row r="222" spans="1:9" ht="20.25" x14ac:dyDescent="0.3">
      <c r="A222" s="39" t="s">
        <v>45</v>
      </c>
      <c r="B222" s="18">
        <f>B221+B218</f>
        <v>30000</v>
      </c>
      <c r="C222" s="18">
        <f>C221+C218</f>
        <v>60000</v>
      </c>
      <c r="D222" s="146" t="s">
        <v>108</v>
      </c>
      <c r="E222" s="14"/>
      <c r="F222" s="14"/>
      <c r="G222" s="13"/>
      <c r="H222" s="13"/>
      <c r="I222" s="37"/>
    </row>
    <row r="223" spans="1:9" ht="20.25" x14ac:dyDescent="0.3">
      <c r="A223" s="39" t="s">
        <v>39</v>
      </c>
      <c r="B223" s="18">
        <f>B220-E228</f>
        <v>0</v>
      </c>
      <c r="C223" s="18">
        <f>C220-E234</f>
        <v>49216</v>
      </c>
      <c r="D223" s="146" t="s">
        <v>109</v>
      </c>
      <c r="E223" s="14"/>
      <c r="F223" s="14"/>
      <c r="G223" s="13"/>
      <c r="H223" s="13"/>
      <c r="I223" s="37"/>
    </row>
    <row r="224" spans="1:9" x14ac:dyDescent="0.2">
      <c r="A224" s="39" t="s">
        <v>35</v>
      </c>
      <c r="B224" s="38">
        <f>B222-E228-F228</f>
        <v>0</v>
      </c>
      <c r="C224" s="44">
        <f>C222-E234-F234</f>
        <v>49216</v>
      </c>
      <c r="D224" s="554" t="s">
        <v>110</v>
      </c>
      <c r="E224" s="555"/>
      <c r="F224" s="555"/>
      <c r="G224" s="555"/>
      <c r="H224" s="13"/>
      <c r="I224" s="37"/>
    </row>
    <row r="225" spans="1:14" ht="21" thickBot="1" x14ac:dyDescent="0.35">
      <c r="A225" s="39"/>
      <c r="B225" s="13"/>
      <c r="C225" s="13"/>
      <c r="D225" s="13"/>
      <c r="E225" s="14"/>
      <c r="F225" s="14"/>
      <c r="G225" s="13"/>
      <c r="H225" s="13"/>
      <c r="I225" s="37"/>
    </row>
    <row r="226" spans="1:14" ht="51" x14ac:dyDescent="0.2">
      <c r="A226" s="19" t="s">
        <v>41</v>
      </c>
      <c r="B226" s="20" t="s">
        <v>34</v>
      </c>
      <c r="C226" s="20" t="s">
        <v>64</v>
      </c>
      <c r="D226" s="20" t="s">
        <v>63</v>
      </c>
      <c r="E226" s="20" t="s">
        <v>37</v>
      </c>
      <c r="F226" s="20" t="s">
        <v>48</v>
      </c>
      <c r="G226" s="20" t="s">
        <v>40</v>
      </c>
      <c r="H226" s="20" t="s">
        <v>38</v>
      </c>
      <c r="I226" s="21" t="s">
        <v>5</v>
      </c>
    </row>
    <row r="227" spans="1:14" x14ac:dyDescent="0.2">
      <c r="A227" s="22" t="s">
        <v>10</v>
      </c>
      <c r="B227" s="23" t="s">
        <v>10</v>
      </c>
      <c r="C227" s="57">
        <v>30000</v>
      </c>
      <c r="D227" s="50">
        <v>42006</v>
      </c>
      <c r="E227" s="57">
        <v>30000</v>
      </c>
      <c r="F227" s="57"/>
      <c r="G227" s="23" t="s">
        <v>140</v>
      </c>
      <c r="H227" s="23" t="s">
        <v>137</v>
      </c>
      <c r="I227" s="24"/>
    </row>
    <row r="228" spans="1:14" x14ac:dyDescent="0.2">
      <c r="A228" s="25" t="s">
        <v>43</v>
      </c>
      <c r="B228" s="26"/>
      <c r="C228" s="61">
        <f>C227</f>
        <v>30000</v>
      </c>
      <c r="D228" s="26"/>
      <c r="E228" s="61">
        <f>E227</f>
        <v>30000</v>
      </c>
      <c r="F228" s="61">
        <f>F227</f>
        <v>0</v>
      </c>
      <c r="G228" s="26"/>
      <c r="H228" s="26"/>
      <c r="I228" s="27"/>
    </row>
    <row r="229" spans="1:14" x14ac:dyDescent="0.2">
      <c r="A229" s="33"/>
      <c r="B229" s="33"/>
      <c r="C229" s="59"/>
      <c r="D229" s="33"/>
      <c r="E229" s="59"/>
      <c r="F229" s="59"/>
      <c r="G229" s="33"/>
      <c r="H229" s="33"/>
      <c r="I229" s="33"/>
    </row>
    <row r="230" spans="1:14" x14ac:dyDescent="0.2">
      <c r="A230" s="25" t="s">
        <v>42</v>
      </c>
      <c r="B230" s="138"/>
      <c r="C230" s="142"/>
      <c r="D230" s="136"/>
      <c r="E230" s="58"/>
      <c r="F230" s="83"/>
      <c r="G230" s="138"/>
      <c r="H230" s="135"/>
      <c r="I230" s="80"/>
    </row>
    <row r="231" spans="1:14" x14ac:dyDescent="0.2">
      <c r="A231" s="150"/>
      <c r="B231" s="559" t="s">
        <v>10</v>
      </c>
      <c r="C231" s="562">
        <v>15000</v>
      </c>
      <c r="D231" s="565" t="s">
        <v>176</v>
      </c>
      <c r="E231" s="562">
        <v>7784</v>
      </c>
      <c r="F231" s="168">
        <f>C231-E231</f>
        <v>7216</v>
      </c>
      <c r="G231" s="559" t="s">
        <v>293</v>
      </c>
      <c r="H231" s="559" t="s">
        <v>174</v>
      </c>
      <c r="I231" s="169" t="s">
        <v>100</v>
      </c>
    </row>
    <row r="232" spans="1:14" x14ac:dyDescent="0.2">
      <c r="A232" s="150"/>
      <c r="B232" s="561"/>
      <c r="C232" s="564"/>
      <c r="D232" s="561"/>
      <c r="E232" s="564"/>
      <c r="F232" s="168">
        <v>-7216</v>
      </c>
      <c r="G232" s="561"/>
      <c r="H232" s="561"/>
      <c r="I232" s="169" t="s">
        <v>286</v>
      </c>
    </row>
    <row r="233" spans="1:14" x14ac:dyDescent="0.2">
      <c r="A233" s="150"/>
      <c r="B233" s="135" t="s">
        <v>10</v>
      </c>
      <c r="C233" s="142">
        <v>3000</v>
      </c>
      <c r="D233" s="136" t="s">
        <v>148</v>
      </c>
      <c r="E233" s="151">
        <v>3000</v>
      </c>
      <c r="F233" s="82">
        <f>C233-E233</f>
        <v>0</v>
      </c>
      <c r="G233" s="135" t="s">
        <v>183</v>
      </c>
      <c r="H233" s="135" t="s">
        <v>106</v>
      </c>
      <c r="I233" s="81"/>
    </row>
    <row r="234" spans="1:14" ht="13.5" thickBot="1" x14ac:dyDescent="0.25">
      <c r="A234" s="28" t="s">
        <v>43</v>
      </c>
      <c r="B234" s="29"/>
      <c r="C234" s="56">
        <f>SUM(C231:C233)</f>
        <v>18000</v>
      </c>
      <c r="D234" s="29"/>
      <c r="E234" s="56">
        <f>SUM(E230:E233)</f>
        <v>10784</v>
      </c>
      <c r="F234" s="56">
        <f>SUM(F230:F233)</f>
        <v>0</v>
      </c>
      <c r="G234" s="29"/>
      <c r="H234" s="29"/>
      <c r="I234" s="30"/>
    </row>
    <row r="238" spans="1:14" ht="18.75" customHeight="1" x14ac:dyDescent="0.3">
      <c r="A238" s="11"/>
      <c r="B238" s="11"/>
      <c r="C238" s="11"/>
      <c r="D238" s="11"/>
      <c r="E238" s="11"/>
      <c r="F238" s="11"/>
      <c r="G238" s="11"/>
      <c r="H238" s="11"/>
      <c r="I238" s="11"/>
      <c r="K238" s="9"/>
      <c r="L238" s="9"/>
      <c r="M238" s="9"/>
      <c r="N238" s="9"/>
    </row>
  </sheetData>
  <mergeCells count="36">
    <mergeCell ref="A1:I1"/>
    <mergeCell ref="D9:G9"/>
    <mergeCell ref="G16:G17"/>
    <mergeCell ref="A216:I216"/>
    <mergeCell ref="G36:G37"/>
    <mergeCell ref="D202:G202"/>
    <mergeCell ref="A41:I41"/>
    <mergeCell ref="D49:G49"/>
    <mergeCell ref="A61:I61"/>
    <mergeCell ref="D69:G69"/>
    <mergeCell ref="A82:I82"/>
    <mergeCell ref="D170:G170"/>
    <mergeCell ref="A194:I194"/>
    <mergeCell ref="A124:I124"/>
    <mergeCell ref="D132:G132"/>
    <mergeCell ref="D111:G111"/>
    <mergeCell ref="A162:I162"/>
    <mergeCell ref="D224:G224"/>
    <mergeCell ref="D152:G152"/>
    <mergeCell ref="A144:I144"/>
    <mergeCell ref="A21:I21"/>
    <mergeCell ref="D29:G29"/>
    <mergeCell ref="D90:G90"/>
    <mergeCell ref="A103:I103"/>
    <mergeCell ref="G231:G232"/>
    <mergeCell ref="H231:H232"/>
    <mergeCell ref="B212:B213"/>
    <mergeCell ref="B231:B232"/>
    <mergeCell ref="C231:C232"/>
    <mergeCell ref="D231:D232"/>
    <mergeCell ref="E231:E232"/>
    <mergeCell ref="H212:H213"/>
    <mergeCell ref="G212:G213"/>
    <mergeCell ref="E212:E213"/>
    <mergeCell ref="D212:D213"/>
    <mergeCell ref="C212:C213"/>
  </mergeCells>
  <hyperlinks>
    <hyperlink ref="G36:G37" r:id="rId1" display="24-462" xr:uid="{9A84A4CD-C0BD-4DEE-8F6A-FB2FF028DC0F}"/>
    <hyperlink ref="G12" r:id="rId2" xr:uid="{001C5EA3-2587-43FD-8CDA-0E56EC561EC4}"/>
  </hyperlinks>
  <pageMargins left="0.69" right="0.28999999999999998" top="0.48" bottom="0.44" header="0.5" footer="0.5"/>
  <pageSetup scale="68" orientation="landscape" r:id="rId3"/>
  <headerFooter alignWithMargins="0">
    <oddFooter>&amp;CCurrent as of &amp;D</oddFooter>
  </headerFooter>
  <rowBreaks count="4" manualBreakCount="4">
    <brk id="142" max="16383" man="1"/>
    <brk id="160" max="16383" man="1"/>
    <brk id="192" max="16383" man="1"/>
    <brk id="234" max="16383" man="1"/>
  </rowBreaks>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topLeftCell="A13" workbookViewId="0">
      <selection activeCell="C37" sqref="C37"/>
    </sheetView>
  </sheetViews>
  <sheetFormatPr defaultRowHeight="12.75" x14ac:dyDescent="0.2"/>
  <cols>
    <col min="2" max="2" width="17" customWidth="1"/>
    <col min="3" max="3" width="40.7109375" customWidth="1"/>
    <col min="4" max="4" width="11.140625" customWidth="1"/>
    <col min="5" max="5" width="11.28515625" customWidth="1"/>
    <col min="6" max="6" width="11.7109375" customWidth="1"/>
  </cols>
  <sheetData>
    <row r="1" spans="1:7" ht="26.25" x14ac:dyDescent="0.4">
      <c r="A1" s="1" t="s">
        <v>0</v>
      </c>
      <c r="B1" s="1"/>
      <c r="C1" s="1"/>
      <c r="D1" s="1"/>
      <c r="E1" s="1"/>
      <c r="F1" s="1"/>
    </row>
    <row r="2" spans="1:7" ht="13.5" thickBot="1" x14ac:dyDescent="0.25"/>
    <row r="3" spans="1:7" ht="24.75" thickTop="1" thickBot="1" x14ac:dyDescent="0.4">
      <c r="A3" s="4"/>
      <c r="B3" s="5" t="s">
        <v>6</v>
      </c>
      <c r="C3" s="6"/>
      <c r="D3" s="6"/>
      <c r="E3" s="6"/>
      <c r="F3" s="6"/>
      <c r="G3" s="7"/>
    </row>
    <row r="4" spans="1:7" ht="13.5" thickTop="1" x14ac:dyDescent="0.2">
      <c r="B4" s="2" t="s">
        <v>9</v>
      </c>
      <c r="C4" s="3" t="s">
        <v>1</v>
      </c>
      <c r="D4" s="3" t="s">
        <v>2</v>
      </c>
      <c r="E4" s="3" t="s">
        <v>3</v>
      </c>
      <c r="F4" s="3" t="s">
        <v>4</v>
      </c>
      <c r="G4" s="3" t="s">
        <v>5</v>
      </c>
    </row>
    <row r="5" spans="1:7" x14ac:dyDescent="0.2">
      <c r="B5" s="10">
        <v>2003</v>
      </c>
      <c r="C5" s="10" t="s">
        <v>10</v>
      </c>
      <c r="D5" s="10" t="s">
        <v>30</v>
      </c>
      <c r="E5" s="10"/>
      <c r="F5" s="10"/>
      <c r="G5" s="10" t="s">
        <v>21</v>
      </c>
    </row>
    <row r="6" spans="1:7" x14ac:dyDescent="0.2">
      <c r="B6" s="11">
        <v>2003</v>
      </c>
      <c r="C6" s="11" t="s">
        <v>11</v>
      </c>
      <c r="D6" s="11" t="s">
        <v>12</v>
      </c>
      <c r="E6" s="12">
        <v>37854</v>
      </c>
      <c r="F6" s="11" t="s">
        <v>13</v>
      </c>
      <c r="G6" s="11" t="s">
        <v>21</v>
      </c>
    </row>
    <row r="7" spans="1:7" x14ac:dyDescent="0.2">
      <c r="B7" s="11">
        <v>2004</v>
      </c>
      <c r="C7" s="11" t="s">
        <v>18</v>
      </c>
      <c r="D7" s="11" t="s">
        <v>19</v>
      </c>
      <c r="E7" s="12">
        <v>38020</v>
      </c>
      <c r="F7" s="11" t="s">
        <v>20</v>
      </c>
      <c r="G7" s="11" t="s">
        <v>21</v>
      </c>
    </row>
    <row r="8" spans="1:7" ht="13.5" thickBot="1" x14ac:dyDescent="0.25"/>
    <row r="9" spans="1:7" ht="24.75" thickTop="1" thickBot="1" x14ac:dyDescent="0.4">
      <c r="A9" s="4"/>
      <c r="B9" s="5" t="s">
        <v>7</v>
      </c>
      <c r="C9" s="6"/>
      <c r="D9" s="6"/>
      <c r="E9" s="6"/>
      <c r="F9" s="6"/>
      <c r="G9" s="7"/>
    </row>
    <row r="10" spans="1:7" ht="13.5" thickTop="1" x14ac:dyDescent="0.2">
      <c r="B10" s="2" t="s">
        <v>9</v>
      </c>
      <c r="C10" s="3" t="s">
        <v>1</v>
      </c>
      <c r="D10" s="3" t="s">
        <v>2</v>
      </c>
      <c r="E10" s="3" t="s">
        <v>3</v>
      </c>
      <c r="F10" s="3" t="s">
        <v>4</v>
      </c>
      <c r="G10" s="3" t="s">
        <v>5</v>
      </c>
    </row>
    <row r="11" spans="1:7" x14ac:dyDescent="0.2">
      <c r="B11">
        <v>2004</v>
      </c>
      <c r="C11" t="s">
        <v>22</v>
      </c>
      <c r="D11" t="s">
        <v>23</v>
      </c>
      <c r="E11" s="8">
        <v>38134</v>
      </c>
      <c r="F11" t="s">
        <v>24</v>
      </c>
      <c r="G11" t="s">
        <v>21</v>
      </c>
    </row>
    <row r="12" spans="1:7" x14ac:dyDescent="0.2">
      <c r="B12">
        <v>2004</v>
      </c>
      <c r="C12" t="s">
        <v>25</v>
      </c>
      <c r="D12" t="s">
        <v>26</v>
      </c>
      <c r="E12" s="8">
        <v>38313</v>
      </c>
      <c r="F12" t="s">
        <v>27</v>
      </c>
      <c r="G12" t="s">
        <v>28</v>
      </c>
    </row>
    <row r="13" spans="1:7" ht="25.5" x14ac:dyDescent="0.2">
      <c r="B13">
        <v>2005</v>
      </c>
      <c r="C13" s="48" t="s">
        <v>70</v>
      </c>
      <c r="D13" t="s">
        <v>33</v>
      </c>
      <c r="E13" s="8">
        <v>38428</v>
      </c>
      <c r="F13" t="s">
        <v>31</v>
      </c>
      <c r="G13" t="s">
        <v>21</v>
      </c>
    </row>
    <row r="14" spans="1:7" x14ac:dyDescent="0.2">
      <c r="B14">
        <v>2005</v>
      </c>
      <c r="C14" s="48" t="s">
        <v>32</v>
      </c>
      <c r="D14" t="s">
        <v>33</v>
      </c>
      <c r="E14" s="8">
        <v>38428</v>
      </c>
      <c r="F14" t="s">
        <v>71</v>
      </c>
      <c r="G14" t="s">
        <v>28</v>
      </c>
    </row>
    <row r="15" spans="1:7" x14ac:dyDescent="0.2">
      <c r="B15">
        <v>2006</v>
      </c>
      <c r="C15" t="s">
        <v>68</v>
      </c>
      <c r="D15" t="s">
        <v>69</v>
      </c>
      <c r="E15" s="8">
        <v>38873</v>
      </c>
      <c r="F15" t="s">
        <v>49</v>
      </c>
      <c r="G15" t="s">
        <v>21</v>
      </c>
    </row>
    <row r="16" spans="1:7" x14ac:dyDescent="0.2">
      <c r="B16">
        <v>2006</v>
      </c>
      <c r="C16" s="48" t="s">
        <v>95</v>
      </c>
      <c r="D16" t="s">
        <v>50</v>
      </c>
      <c r="E16" s="8">
        <v>38869</v>
      </c>
      <c r="F16" t="s">
        <v>51</v>
      </c>
      <c r="G16" t="s">
        <v>21</v>
      </c>
    </row>
    <row r="17" spans="1:7" x14ac:dyDescent="0.2">
      <c r="B17">
        <v>2008</v>
      </c>
      <c r="C17" s="48" t="s">
        <v>68</v>
      </c>
      <c r="D17" t="s">
        <v>89</v>
      </c>
      <c r="E17" s="8">
        <v>39616</v>
      </c>
      <c r="F17" t="s">
        <v>83</v>
      </c>
      <c r="G17" t="s">
        <v>21</v>
      </c>
    </row>
    <row r="18" spans="1:7" x14ac:dyDescent="0.2">
      <c r="B18">
        <v>2009</v>
      </c>
      <c r="C18" s="48" t="s">
        <v>95</v>
      </c>
      <c r="D18" t="s">
        <v>96</v>
      </c>
      <c r="E18" s="8">
        <v>39947</v>
      </c>
      <c r="F18" t="s">
        <v>94</v>
      </c>
      <c r="G18" t="s">
        <v>21</v>
      </c>
    </row>
    <row r="19" spans="1:7" ht="13.5" thickBot="1" x14ac:dyDescent="0.25"/>
    <row r="20" spans="1:7" ht="24.75" thickTop="1" thickBot="1" x14ac:dyDescent="0.4">
      <c r="A20" s="4"/>
      <c r="B20" s="5" t="s">
        <v>8</v>
      </c>
      <c r="C20" s="6"/>
      <c r="D20" s="6"/>
      <c r="E20" s="6"/>
      <c r="F20" s="6"/>
      <c r="G20" s="7"/>
    </row>
    <row r="21" spans="1:7" ht="13.5" thickTop="1" x14ac:dyDescent="0.2">
      <c r="B21" s="2" t="s">
        <v>9</v>
      </c>
      <c r="C21" s="3" t="s">
        <v>1</v>
      </c>
      <c r="D21" s="3" t="s">
        <v>2</v>
      </c>
      <c r="E21" s="3" t="s">
        <v>3</v>
      </c>
      <c r="F21" s="3" t="s">
        <v>4</v>
      </c>
      <c r="G21" s="3" t="s">
        <v>5</v>
      </c>
    </row>
    <row r="22" spans="1:7" x14ac:dyDescent="0.2">
      <c r="B22">
        <v>2003</v>
      </c>
      <c r="C22" t="s">
        <v>14</v>
      </c>
      <c r="D22" t="s">
        <v>15</v>
      </c>
      <c r="E22" s="8">
        <v>37881</v>
      </c>
      <c r="F22" t="s">
        <v>16</v>
      </c>
      <c r="G22" t="s">
        <v>17</v>
      </c>
    </row>
    <row r="23" spans="1:7" x14ac:dyDescent="0.2">
      <c r="B23">
        <v>2003</v>
      </c>
      <c r="C23" t="s">
        <v>52</v>
      </c>
      <c r="D23" t="s">
        <v>73</v>
      </c>
      <c r="E23" s="8">
        <v>37881</v>
      </c>
      <c r="F23" t="s">
        <v>72</v>
      </c>
    </row>
    <row r="24" spans="1:7" x14ac:dyDescent="0.2">
      <c r="B24">
        <v>2003</v>
      </c>
      <c r="C24" t="s">
        <v>74</v>
      </c>
      <c r="D24" t="s">
        <v>75</v>
      </c>
      <c r="E24" s="8">
        <v>37881</v>
      </c>
      <c r="F24" t="s">
        <v>76</v>
      </c>
    </row>
    <row r="25" spans="1:7" x14ac:dyDescent="0.2">
      <c r="B25">
        <v>2007</v>
      </c>
      <c r="C25" t="s">
        <v>77</v>
      </c>
      <c r="D25" t="s">
        <v>82</v>
      </c>
      <c r="E25" s="8">
        <v>39338</v>
      </c>
      <c r="F25" t="s">
        <v>81</v>
      </c>
    </row>
    <row r="26" spans="1:7" x14ac:dyDescent="0.2">
      <c r="B26">
        <v>2008</v>
      </c>
      <c r="C26" t="s">
        <v>78</v>
      </c>
      <c r="D26" t="s">
        <v>80</v>
      </c>
      <c r="E26" s="8">
        <v>39463</v>
      </c>
      <c r="F26" t="s">
        <v>79</v>
      </c>
    </row>
  </sheetData>
  <phoneticPr fontId="7"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arch_x0020_words xmlns="80851251-1218-4690-997c-3003e58129e1">Intervenor Funding Summary, Filing Center, PUC</Search_x0020_words>
    <Document_x0020_Name xmlns="80851251-1218-4690-997c-3003e58129e1">Intervenor Funding Summary</Document_x0020_Name>
    <Description0 xmlns="80851251-1218-4690-997c-3003e58129e1">Intervenor Funding Summary</Description0>
    <Division xmlns="80851251-1218-4690-997c-3003e58129e1">Filing Center</Division>
    <Date_x0020_Modified xmlns="80851251-1218-4690-997c-3003e58129e1">2025-09-09T14:00:00+00:00</Date_x0020_Modified>
    <Form_x0020_or_x0020_Report_x0020__x0023_ xmlns="80851251-1218-4690-997c-3003e58129e1" xsi:nil="true"/>
    <Form_x0020_or_x0020_Report xmlns="80851251-1218-4690-997c-3003e58129e1">Report</Form_x0020_or_x0020_Report>
    <Utility_x0020_Type xmlns="80851251-1218-4690-997c-3003e58129e1" xsi:nil="true"/>
    <Topic xmlns="80851251-1218-4690-997c-3003e58129e1">Intervenor Funding Summary</Topi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C6E65439289B49842E9D68E4FD2FFD" ma:contentTypeVersion="19" ma:contentTypeDescription="Create a new document." ma:contentTypeScope="" ma:versionID="5d2c73115be65ab0d70513be530eb502">
  <xsd:schema xmlns:xsd="http://www.w3.org/2001/XMLSchema" xmlns:xs="http://www.w3.org/2001/XMLSchema" xmlns:p="http://schemas.microsoft.com/office/2006/metadata/properties" xmlns:ns2="80851251-1218-4690-997c-3003e58129e1" xmlns:ns3="1260122e-a5cf-4948-b44c-360fafba4997" targetNamespace="http://schemas.microsoft.com/office/2006/metadata/properties" ma:root="true" ma:fieldsID="cb12a4a4aa0023a06b9dbfc97699b72e" ns2:_="" ns3:_="">
    <xsd:import namespace="80851251-1218-4690-997c-3003e58129e1"/>
    <xsd:import namespace="1260122e-a5cf-4948-b44c-360fafba4997"/>
    <xsd:element name="properties">
      <xsd:complexType>
        <xsd:sequence>
          <xsd:element name="documentManagement">
            <xsd:complexType>
              <xsd:all>
                <xsd:element ref="ns2:Document_x0020_Name"/>
                <xsd:element ref="ns2:Date_x0020_Modified"/>
                <xsd:element ref="ns2:Form_x0020_or_x0020_Report"/>
                <xsd:element ref="ns2:Division"/>
                <xsd:element ref="ns2:Form_x0020_or_x0020_Report_x0020__x0023_" minOccurs="0"/>
                <xsd:element ref="ns2:Topic"/>
                <xsd:element ref="ns2:Search_x0020_words"/>
                <xsd:element ref="ns2:Description0" minOccurs="0"/>
                <xsd:element ref="ns2:Utility_x0020_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51251-1218-4690-997c-3003e58129e1" elementFormDefault="qualified">
    <xsd:import namespace="http://schemas.microsoft.com/office/2006/documentManagement/types"/>
    <xsd:import namespace="http://schemas.microsoft.com/office/infopath/2007/PartnerControls"/>
    <xsd:element name="Document_x0020_Name" ma:index="2" ma:displayName="Document Name" ma:description="Form or report name" ma:internalName="Document_x0020_Name" ma:readOnly="false">
      <xsd:simpleType>
        <xsd:restriction base="dms:Text">
          <xsd:maxLength value="255"/>
        </xsd:restriction>
      </xsd:simpleType>
    </xsd:element>
    <xsd:element name="Date_x0020_Modified" ma:index="3" ma:displayName="Date Modified" ma:description="Date and time entry modified" ma:format="DateTime" ma:internalName="Date_x0020_Modified" ma:readOnly="false">
      <xsd:simpleType>
        <xsd:restriction base="dms:DateTime"/>
      </xsd:simpleType>
    </xsd:element>
    <xsd:element name="Form_x0020_or_x0020_Report" ma:index="4" ma:displayName="Form or Report" ma:description="Is the document a form or report?" ma:internalName="Form_x0020_or_x0020_Report" ma:readOnly="false">
      <xsd:simpleType>
        <xsd:restriction base="dms:Text">
          <xsd:maxLength value="255"/>
        </xsd:restriction>
      </xsd:simpleType>
    </xsd:element>
    <xsd:element name="Division" ma:index="5" ma:displayName="Section" ma:description="Section using the form/report" ma:internalName="Division" ma:readOnly="false">
      <xsd:simpleType>
        <xsd:restriction base="dms:Text">
          <xsd:maxLength value="255"/>
        </xsd:restriction>
      </xsd:simpleType>
    </xsd:element>
    <xsd:element name="Form_x0020_or_x0020_Report_x0020__x0023_" ma:index="6" nillable="true" ma:displayName="Form or Report #" ma:description="Number assigned to differentiate the form or report" ma:internalName="Form_x0020_or_x0020_Report_x0020__x0023_" ma:readOnly="false">
      <xsd:simpleType>
        <xsd:restriction base="dms:Text">
          <xsd:maxLength value="255"/>
        </xsd:restriction>
      </xsd:simpleType>
    </xsd:element>
    <xsd:element name="Topic" ma:index="7" ma:displayName="Topic" ma:description="Topic of the form or report" ma:internalName="Topic" ma:readOnly="false">
      <xsd:simpleType>
        <xsd:restriction base="dms:Note">
          <xsd:maxLength value="255"/>
        </xsd:restriction>
      </xsd:simpleType>
    </xsd:element>
    <xsd:element name="Search_x0020_words" ma:index="8" ma:displayName="Search words" ma:description="List key words for search function" ma:internalName="Search_x0020_words" ma:readOnly="false">
      <xsd:simpleType>
        <xsd:restriction base="dms:Note">
          <xsd:maxLength value="255"/>
        </xsd:restriction>
      </xsd:simpleType>
    </xsd:element>
    <xsd:element name="Description0" ma:index="9" nillable="true" ma:displayName="Description" ma:internalName="Description0" ma:readOnly="false">
      <xsd:simpleType>
        <xsd:restriction base="dms:Text">
          <xsd:maxLength value="255"/>
        </xsd:restriction>
      </xsd:simpleType>
    </xsd:element>
    <xsd:element name="Utility_x0020_Type" ma:index="10" nillable="true" ma:displayName="Utility Type" ma:format="Dropdown" ma:internalName="Utility_x0020_Type" ma:readOnly="false">
      <xsd:simpleType>
        <xsd:union memberTypes="dms:Text">
          <xsd:simpleType>
            <xsd:restriction base="dms:Choice">
              <xsd:enumeration value="Electric"/>
              <xsd:enumeration value="Filing Center"/>
              <xsd:enumeration value="Natural Gas"/>
              <xsd:enumeration value="Oregon Universal Service Fund"/>
              <xsd:enumeration value="Safety"/>
              <xsd:enumeration value="Telecom"/>
              <xsd:enumeration value="Wat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1260122e-a5cf-4948-b44c-360fafba499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895CD-6EF7-4E4C-AD64-D1B63AAE5849}">
  <ds:schemaRef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 ds:uri="a03af407-be50-4c23-b68a-333ee039c66c"/>
    <ds:schemaRef ds:uri="6b3af962-88ed-4e59-9575-e9b444a7dd93"/>
    <ds:schemaRef ds:uri="http://schemas.microsoft.com/office/2006/metadata/properties"/>
  </ds:schemaRefs>
</ds:datastoreItem>
</file>

<file path=customXml/itemProps2.xml><?xml version="1.0" encoding="utf-8"?>
<ds:datastoreItem xmlns:ds="http://schemas.openxmlformats.org/officeDocument/2006/customXml" ds:itemID="{4A5E6DAA-01CD-4398-812C-1868561B9580}"/>
</file>

<file path=customXml/itemProps3.xml><?xml version="1.0" encoding="utf-8"?>
<ds:datastoreItem xmlns:ds="http://schemas.openxmlformats.org/officeDocument/2006/customXml" ds:itemID="{329EEFA8-5112-4FD2-B188-353E2E83F378}">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Summary</vt:lpstr>
      <vt:lpstr>Usage</vt:lpstr>
      <vt:lpstr>PGE</vt:lpstr>
      <vt:lpstr>PACIFIC</vt:lpstr>
      <vt:lpstr>NWN</vt:lpstr>
      <vt:lpstr>CASCADE</vt:lpstr>
      <vt:lpstr>AVISTA</vt:lpstr>
      <vt:lpstr>IDAHO POWER</vt:lpstr>
      <vt:lpstr>Certifications</vt:lpstr>
      <vt:lpstr>PACIFICORP MSP</vt:lpstr>
      <vt:lpstr>Justice Funding (HB 2475)</vt:lpstr>
      <vt:lpstr>Notices of Intent</vt:lpstr>
      <vt:lpstr>Eligibility +Certification </vt:lpstr>
      <vt:lpstr>PACIFICORP SB978</vt:lpstr>
      <vt:lpstr>PGE SB978</vt:lpstr>
      <vt:lpstr>Usage!Print_Area</vt:lpstr>
    </vt:vector>
  </TitlesOfParts>
  <Company>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Intervenor Funding Summary</dc:title>
  <dc:creator>%username%</dc:creator>
  <cp:lastModifiedBy>INTVELD Marilyn * PUC</cp:lastModifiedBy>
  <cp:lastPrinted>2024-07-29T04:03:34Z</cp:lastPrinted>
  <dcterms:created xsi:type="dcterms:W3CDTF">2005-08-11T17:41:40Z</dcterms:created>
  <dcterms:modified xsi:type="dcterms:W3CDTF">2025-09-09T13:56:42Z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0x01010013C6E65439289B49842E9D68E4FD2FFD</vt:lpwstr>
  </property>
  <property fmtid="{D5CDD505-2E9C-101B-9397-08002B2CF9AE}" pid="3" name="MSIP_Label_09b73270-2993-4076-be47-9c78f42a1e84_Enabled">
    <vt:lpwstr>true</vt:lpwstr>
  </property>
  <property fmtid="{D5CDD505-2E9C-101B-9397-08002B2CF9AE}" pid="4" name="MSIP_Label_09b73270-2993-4076-be47-9c78f42a1e84_SetDate">
    <vt:lpwstr>2023-10-16T21:21:03Z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7b509700-478e-43a8-82b3-be5da9c0ff81</vt:lpwstr>
  </property>
  <property fmtid="{D5CDD505-2E9C-101B-9397-08002B2CF9AE}" pid="9" name="MSIP_Label_09b73270-2993-4076-be47-9c78f42a1e84_ContentBits">
    <vt:lpwstr>0</vt:lpwstr>
  </property>
</Properties>
</file>