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young\OneDrive - Oregon\Desktop\"/>
    </mc:Choice>
  </mc:AlternateContent>
  <bookViews>
    <workbookView xWindow="0" yWindow="0" windowWidth="19170" windowHeight="6570" tabRatio="860"/>
  </bookViews>
  <sheets>
    <sheet name="Reference" sheetId="5" r:id="rId1"/>
    <sheet name="5 year- OR LDC ROO" sheetId="1" r:id="rId2"/>
    <sheet name="Graphic 1 and 2" sheetId="2" r:id="rId3"/>
    <sheet name="Graphic 3" sheetId="3" r:id="rId4"/>
    <sheet name="Example, Plant Depreciation" sheetId="4" r:id="rId5"/>
  </sheets>
  <definedNames>
    <definedName name="_xlchart.v1.0" hidden="1">'Graphic 1 and 2'!$B$5:$B$9</definedName>
    <definedName name="_xlchart.v1.1" hidden="1">'Graphic 1 and 2'!$F$5:$F$9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10" i="2" s="1"/>
  <c r="B21" i="1" l="1"/>
  <c r="E11" i="4" l="1"/>
  <c r="D11" i="4"/>
  <c r="C11" i="4"/>
  <c r="E6" i="4"/>
  <c r="E5" i="4"/>
  <c r="E4" i="4"/>
  <c r="E3" i="4"/>
  <c r="C4" i="4"/>
  <c r="C3" i="4"/>
  <c r="D4" i="4"/>
  <c r="D6" i="4"/>
  <c r="D3" i="4"/>
  <c r="B7" i="4"/>
  <c r="B6" i="4"/>
  <c r="B4" i="4"/>
  <c r="B5" i="4"/>
  <c r="B3" i="4"/>
  <c r="F3" i="4" l="1"/>
  <c r="F4" i="4"/>
  <c r="F11" i="4"/>
  <c r="E5" i="3"/>
  <c r="D6" i="3"/>
  <c r="D5" i="3"/>
  <c r="D4" i="3"/>
  <c r="C6" i="3"/>
  <c r="C5" i="3"/>
  <c r="C4" i="3"/>
  <c r="C3" i="3"/>
  <c r="F5" i="3"/>
  <c r="G5" i="3" s="1"/>
  <c r="B21" i="2" l="1"/>
  <c r="C9" i="2"/>
  <c r="C8" i="2"/>
  <c r="C7" i="2"/>
  <c r="C6" i="2"/>
  <c r="C5" i="2"/>
  <c r="D9" i="2"/>
  <c r="D8" i="2"/>
  <c r="D7" i="2"/>
  <c r="D5" i="2"/>
  <c r="C10" i="2" l="1"/>
  <c r="F8" i="2"/>
  <c r="F9" i="2"/>
  <c r="F5" i="2"/>
  <c r="F7" i="2"/>
  <c r="Q34" i="1" l="1"/>
  <c r="Q33" i="1"/>
  <c r="D3" i="3" s="1"/>
  <c r="Q35" i="1"/>
  <c r="Q27" i="1" l="1"/>
  <c r="R27" i="1"/>
  <c r="S27" i="1"/>
  <c r="T27" i="1"/>
  <c r="P27" i="1"/>
  <c r="W12" i="1" l="1"/>
  <c r="Q21" i="1"/>
  <c r="Q23" i="1" s="1"/>
  <c r="R21" i="1"/>
  <c r="R23" i="1" s="1"/>
  <c r="S21" i="1"/>
  <c r="S23" i="1" s="1"/>
  <c r="T21" i="1"/>
  <c r="T23" i="1" s="1"/>
  <c r="P21" i="1"/>
  <c r="Q15" i="1"/>
  <c r="R15" i="1"/>
  <c r="S15" i="1"/>
  <c r="T15" i="1"/>
  <c r="P15" i="1"/>
  <c r="Q10" i="1"/>
  <c r="R10" i="1"/>
  <c r="S10" i="1"/>
  <c r="T10" i="1"/>
  <c r="P10" i="1"/>
  <c r="Q6" i="1"/>
  <c r="R6" i="1"/>
  <c r="S6" i="1"/>
  <c r="T6" i="1"/>
  <c r="P6" i="1"/>
  <c r="P23" i="1" l="1"/>
  <c r="D5" i="4"/>
  <c r="T16" i="1"/>
  <c r="T17" i="1" s="1"/>
  <c r="S16" i="1"/>
  <c r="S17" i="1"/>
  <c r="R16" i="1"/>
  <c r="R17" i="1"/>
  <c r="Q16" i="1"/>
  <c r="Q17" i="1"/>
  <c r="P16" i="1"/>
  <c r="P17" i="1" s="1"/>
  <c r="D7" i="4" l="1"/>
  <c r="D12" i="4" s="1"/>
  <c r="D21" i="2"/>
  <c r="M34" i="1"/>
  <c r="L34" i="1"/>
  <c r="M33" i="1"/>
  <c r="L33" i="1"/>
  <c r="I22" i="1" l="1"/>
  <c r="C6" i="4" s="1"/>
  <c r="F6" i="4" s="1"/>
  <c r="I15" i="1" l="1"/>
  <c r="M21" i="1"/>
  <c r="M23" i="1" s="1"/>
  <c r="L21" i="1"/>
  <c r="L23" i="1" s="1"/>
  <c r="K21" i="1"/>
  <c r="K23" i="1" s="1"/>
  <c r="J21" i="1"/>
  <c r="J23" i="1" s="1"/>
  <c r="I21" i="1"/>
  <c r="C5" i="4" s="1"/>
  <c r="F5" i="4" s="1"/>
  <c r="M15" i="1"/>
  <c r="L15" i="1"/>
  <c r="K15" i="1"/>
  <c r="J15" i="1"/>
  <c r="M10" i="1"/>
  <c r="L10" i="1"/>
  <c r="L16" i="1" s="1"/>
  <c r="K10" i="1"/>
  <c r="J10" i="1"/>
  <c r="M6" i="1"/>
  <c r="L6" i="1"/>
  <c r="K6" i="1"/>
  <c r="J6" i="1"/>
  <c r="I9" i="1"/>
  <c r="I5" i="1"/>
  <c r="I6" i="1"/>
  <c r="D6" i="2" l="1"/>
  <c r="I10" i="1"/>
  <c r="I16" i="1"/>
  <c r="I17" i="1" s="1"/>
  <c r="M16" i="1"/>
  <c r="M17" i="1"/>
  <c r="L17" i="1"/>
  <c r="K16" i="1"/>
  <c r="K17" i="1" s="1"/>
  <c r="J16" i="1"/>
  <c r="J17" i="1"/>
  <c r="I23" i="1"/>
  <c r="B38" i="1"/>
  <c r="C38" i="1"/>
  <c r="D38" i="1"/>
  <c r="E38" i="1"/>
  <c r="F38" i="1"/>
  <c r="B39" i="1"/>
  <c r="C39" i="1"/>
  <c r="D39" i="1"/>
  <c r="E39" i="1"/>
  <c r="F39" i="1"/>
  <c r="B37" i="1"/>
  <c r="B53" i="1" s="1"/>
  <c r="C37" i="1"/>
  <c r="E4" i="3" s="1"/>
  <c r="F4" i="3" s="1"/>
  <c r="G4" i="3" s="1"/>
  <c r="D37" i="1"/>
  <c r="E37" i="1"/>
  <c r="F37" i="1"/>
  <c r="F33" i="1"/>
  <c r="F45" i="1"/>
  <c r="E45" i="1"/>
  <c r="D45" i="1"/>
  <c r="C45" i="1"/>
  <c r="E6" i="3" s="1"/>
  <c r="F6" i="3" s="1"/>
  <c r="G6" i="3" s="1"/>
  <c r="B45" i="1"/>
  <c r="B55" i="1" s="1"/>
  <c r="B34" i="1"/>
  <c r="C35" i="1"/>
  <c r="C34" i="1"/>
  <c r="B33" i="1"/>
  <c r="B52" i="1" s="1"/>
  <c r="C33" i="1"/>
  <c r="E3" i="3" s="1"/>
  <c r="F3" i="3" s="1"/>
  <c r="G3" i="3" s="1"/>
  <c r="G7" i="3" s="1"/>
  <c r="H3" i="3" l="1"/>
  <c r="H5" i="3"/>
  <c r="H6" i="3"/>
  <c r="H4" i="3"/>
  <c r="C7" i="4"/>
  <c r="C12" i="4" s="1"/>
  <c r="C21" i="2"/>
  <c r="D10" i="2"/>
  <c r="F10" i="2" s="1"/>
  <c r="F6" i="2"/>
  <c r="C21" i="1"/>
  <c r="C23" i="1" s="1"/>
  <c r="D21" i="1"/>
  <c r="D23" i="1" s="1"/>
  <c r="E21" i="1"/>
  <c r="E23" i="1" s="1"/>
  <c r="F21" i="1"/>
  <c r="F23" i="1" s="1"/>
  <c r="B23" i="1"/>
  <c r="E21" i="2" s="1"/>
  <c r="C15" i="1"/>
  <c r="D15" i="1"/>
  <c r="E15" i="1"/>
  <c r="F15" i="1"/>
  <c r="C10" i="1"/>
  <c r="D10" i="1"/>
  <c r="E10" i="1"/>
  <c r="F10" i="1"/>
  <c r="C6" i="1"/>
  <c r="D6" i="1"/>
  <c r="E6" i="1"/>
  <c r="F6" i="1"/>
  <c r="E7" i="4" l="1"/>
  <c r="F21" i="2"/>
  <c r="C16" i="1"/>
  <c r="C17" i="1" s="1"/>
  <c r="F16" i="1"/>
  <c r="F17" i="1" s="1"/>
  <c r="E16" i="1"/>
  <c r="E17" i="1" s="1"/>
  <c r="D16" i="1"/>
  <c r="D17" i="1" s="1"/>
  <c r="F7" i="4" l="1"/>
  <c r="F12" i="4" s="1"/>
  <c r="E12" i="4"/>
  <c r="B15" i="1"/>
  <c r="B10" i="1" l="1"/>
  <c r="B16" i="1" s="1"/>
  <c r="B6" i="1"/>
  <c r="B17" i="1" l="1"/>
</calcChain>
</file>

<file path=xl/comments1.xml><?xml version="1.0" encoding="utf-8"?>
<comments xmlns="http://schemas.openxmlformats.org/spreadsheetml/2006/main">
  <authors>
    <author>FJELDHEIM Brian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Annual ROO filings - State allocation factors page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Based on Avista 2020 ROO, R4-R5. Nonconfidential source.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Based on Avista 2019 ROO, R4-R5. Nonconfidential source.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Based on Avista 2018 ROO, report OR-ALL-12A. Nonconfidential source.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Based on Avista 2017 ROO, report OR-ALL-12A. Nonconfidential source.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Based on Avista 2017 ROO, report OR-ALL-12A. Nonconfidential source.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Annual PGA filing, Table 7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Annual PGA filing, Table 7</t>
        </r>
      </text>
    </comment>
    <comment ref="R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Annual PGA filing, Table 7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Annual PGA filing, Table 7</t>
        </r>
      </text>
    </comment>
    <comment ref="T27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Annual PGA filing, Table 7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 rates increased 11/1/2020; weighted Jan - Oct at previous base rate, weighted Nov - Dec at current base rate.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 rates increased 4/1/2019; weighted Jan - Mar at previous base rate, weighted Apr - Dec at new base rate.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 rates increased 11/1/2020; weighted Jan - Oct at previous base rate, weighted Nov - Dec at current base rate.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 rates increased 4/1/2019; weighted Jan - Mar at previous base rate, weighted Apr - Dec at new base rate.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 rates increased 11/1/2020; weighted Jan - Oct at previous base rate, weighted Nov - Dec at current base rate.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Base rates increased 4/1/2019; weighted Jan - Mar at previous base rate, weighted Apr - Dec at new base rate.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From NWN tariff fillings. Annual WACOG is weighted by calendar year to reflect ongoing annual natural gas rate adjustments across the PGA gas year. PGA gas year runs November 1 to October 31.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FJELDHEIM Brian:</t>
        </r>
        <r>
          <rPr>
            <sz val="9"/>
            <color indexed="81"/>
            <rFont val="Tahoma"/>
            <family val="2"/>
          </rPr>
          <t xml:space="preserve">
Provided in annual PGA filings</t>
        </r>
      </text>
    </comment>
  </commentList>
</comments>
</file>

<file path=xl/sharedStrings.xml><?xml version="1.0" encoding="utf-8"?>
<sst xmlns="http://schemas.openxmlformats.org/spreadsheetml/2006/main" count="100" uniqueCount="65">
  <si>
    <t>NW Natural</t>
  </si>
  <si>
    <t>Avista Utilities</t>
  </si>
  <si>
    <t>Cascade Natural Gas Corp.</t>
  </si>
  <si>
    <t>Annual Results of Operations</t>
  </si>
  <si>
    <t>Revenues ($ 000)</t>
  </si>
  <si>
    <t>Sales</t>
  </si>
  <si>
    <t>Transportation + misc. revenue</t>
  </si>
  <si>
    <t>Total</t>
  </si>
  <si>
    <t>Operating Expenses</t>
  </si>
  <si>
    <t>Gas purchases</t>
  </si>
  <si>
    <t>O&amp;M and A&amp;G expenses</t>
  </si>
  <si>
    <t>Taxes, other taxes &amp; fees, &amp; depreciation/amortization</t>
  </si>
  <si>
    <t xml:space="preserve">Taxes </t>
  </si>
  <si>
    <t>Other taxes &amp; fees</t>
  </si>
  <si>
    <t>Depreciation/amortization</t>
  </si>
  <si>
    <t>Total - taxes, fees, &amp; deprec/amort</t>
  </si>
  <si>
    <t>Total Operating Expenses</t>
  </si>
  <si>
    <t>Net Operating Reveneues</t>
  </si>
  <si>
    <t xml:space="preserve">Rate Base ($000) </t>
  </si>
  <si>
    <t>Utility Plant in Service</t>
  </si>
  <si>
    <t>Accumulated Depreciation</t>
  </si>
  <si>
    <t>Net Utility Plant</t>
  </si>
  <si>
    <t>Rate Base Adustments</t>
  </si>
  <si>
    <t>Total Rate Base</t>
  </si>
  <si>
    <t>Rate of Return (ROR)</t>
  </si>
  <si>
    <t>Return on Equity (ROE)</t>
  </si>
  <si>
    <t>Total Customers *</t>
  </si>
  <si>
    <t>Residential</t>
  </si>
  <si>
    <t>Commercial</t>
  </si>
  <si>
    <t>Industrial</t>
  </si>
  <si>
    <t>Base Rates by customer class
($/therm) *</t>
  </si>
  <si>
    <t>Basic Commercial - Firm Sales</t>
  </si>
  <si>
    <t>Basic Industrial - Firm Sales</t>
  </si>
  <si>
    <t>Volumetric charge
($/therm) *</t>
  </si>
  <si>
    <t>* To simplify presentation, several additional Comm &amp; Indust rate classes are omitted.</t>
  </si>
  <si>
    <t>Monthly fixed charge</t>
  </si>
  <si>
    <t>Commodity cost 
WACOG ($/therm)</t>
  </si>
  <si>
    <t>Average customer bill **</t>
  </si>
  <si>
    <t>**These figures include amortization of deferred balances - approx range of ($0.057) to $0.057/therm. Average usage varies year-to-year for each rate class.</t>
  </si>
  <si>
    <t>Base Rates</t>
  </si>
  <si>
    <t>Volumetric Charge</t>
  </si>
  <si>
    <t>Fixed Charge</t>
  </si>
  <si>
    <t>Gas</t>
  </si>
  <si>
    <t>Graphic #1, Page 52 of PowerPoint</t>
  </si>
  <si>
    <t xml:space="preserve">Element </t>
  </si>
  <si>
    <t>Avista</t>
  </si>
  <si>
    <t>CNG</t>
  </si>
  <si>
    <t>NWN</t>
  </si>
  <si>
    <t>Graphic #2, Page 53 of PowerPoint</t>
  </si>
  <si>
    <t>Graphic #3, Page 54 of PowerPoint</t>
  </si>
  <si>
    <t>Annual Total</t>
  </si>
  <si>
    <t>Percent of Bill</t>
  </si>
  <si>
    <t>Rate Base</t>
  </si>
  <si>
    <t>Volumeteric Charge</t>
  </si>
  <si>
    <t>Monthly Fixed</t>
  </si>
  <si>
    <t>WACOG</t>
  </si>
  <si>
    <t>Average Annual Therm Use</t>
  </si>
  <si>
    <t>STAFF NOTE</t>
  </si>
  <si>
    <t>This data is a simple average and not weighted by gas sales. It is for reference purposes only.</t>
  </si>
  <si>
    <t>Actual percentages vary by company.</t>
  </si>
  <si>
    <t>2020 Rate Base</t>
  </si>
  <si>
    <t>Rate of Depreciation</t>
  </si>
  <si>
    <t>Industry Average</t>
  </si>
  <si>
    <t>5-year Avg. $ Depreciation</t>
  </si>
  <si>
    <t>Est. Time to Complete Depreciation of Current Assets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</si>
</sst>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_);_(&quot;$&quot;* \(#,##0.00000\);_(&quot;$&quot;* &quot;-&quot;??_);_(@_)"/>
    <numFmt numFmtId="166" formatCode="_(&quot;$&quot;* #,##0_);_(&quot;$&quot;* \(#,##0\);_(&quot;$&quot;* &quot;-&quot;??_);_(@_)"/>
    <numFmt numFmtId="167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4" fontId="0" fillId="0" borderId="1" xfId="1" applyNumberFormat="1" applyFont="1" applyBorder="1" applyAlignment="1">
      <alignment horizontal="right" vertical="center"/>
    </xf>
    <xf numFmtId="10" fontId="0" fillId="0" borderId="0" xfId="2" applyNumberFormat="1" applyFont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Font="1" applyAlignment="1">
      <alignment wrapText="1"/>
    </xf>
    <xf numFmtId="164" fontId="0" fillId="0" borderId="3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0" fontId="0" fillId="0" borderId="0" xfId="2" applyNumberFormat="1" applyFont="1"/>
    <xf numFmtId="165" fontId="0" fillId="0" borderId="0" xfId="3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4" fontId="0" fillId="0" borderId="0" xfId="3" applyNumberFormat="1" applyFont="1" applyAlignment="1">
      <alignment horizontal="right"/>
    </xf>
    <xf numFmtId="44" fontId="0" fillId="2" borderId="0" xfId="3" applyNumberFormat="1" applyFont="1" applyFill="1" applyAlignment="1">
      <alignment horizontal="right"/>
    </xf>
    <xf numFmtId="164" fontId="0" fillId="0" borderId="0" xfId="1" applyNumberFormat="1" applyFont="1"/>
    <xf numFmtId="164" fontId="0" fillId="0" borderId="4" xfId="1" applyNumberFormat="1" applyFont="1" applyFill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0" fontId="0" fillId="0" borderId="0" xfId="0" applyFill="1"/>
    <xf numFmtId="44" fontId="0" fillId="0" borderId="0" xfId="3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9" fillId="0" borderId="5" xfId="0" applyFont="1" applyBorder="1"/>
    <xf numFmtId="0" fontId="9" fillId="0" borderId="6" xfId="0" applyFont="1" applyBorder="1"/>
    <xf numFmtId="44" fontId="0" fillId="0" borderId="0" xfId="3" applyFont="1"/>
    <xf numFmtId="166" fontId="0" fillId="0" borderId="0" xfId="3" applyNumberFormat="1" applyFont="1"/>
    <xf numFmtId="0" fontId="10" fillId="0" borderId="7" xfId="0" applyFont="1" applyBorder="1"/>
    <xf numFmtId="0" fontId="10" fillId="0" borderId="0" xfId="0" applyFont="1"/>
    <xf numFmtId="166" fontId="0" fillId="0" borderId="0" xfId="0" applyNumberFormat="1"/>
    <xf numFmtId="44" fontId="0" fillId="0" borderId="0" xfId="0" applyNumberFormat="1"/>
    <xf numFmtId="9" fontId="0" fillId="0" borderId="0" xfId="2" applyFont="1"/>
    <xf numFmtId="0" fontId="0" fillId="0" borderId="0" xfId="0" applyAlignment="1">
      <alignment vertical="top"/>
    </xf>
    <xf numFmtId="0" fontId="11" fillId="3" borderId="0" xfId="4" applyFont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5" xfId="0" applyFont="1" applyBorder="1" applyAlignment="1">
      <alignment horizontal="right" vertical="top"/>
    </xf>
    <xf numFmtId="0" fontId="0" fillId="0" borderId="5" xfId="0" applyBorder="1" applyAlignment="1">
      <alignment vertical="top"/>
    </xf>
    <xf numFmtId="166" fontId="0" fillId="0" borderId="5" xfId="3" applyNumberFormat="1" applyFont="1" applyBorder="1" applyAlignment="1">
      <alignment vertical="top"/>
    </xf>
    <xf numFmtId="166" fontId="2" fillId="0" borderId="5" xfId="3" applyNumberFormat="1" applyFont="1" applyBorder="1" applyAlignment="1">
      <alignment vertical="top"/>
    </xf>
    <xf numFmtId="0" fontId="0" fillId="0" borderId="6" xfId="0" applyBorder="1" applyAlignment="1">
      <alignment vertical="top"/>
    </xf>
    <xf numFmtId="166" fontId="0" fillId="0" borderId="6" xfId="3" applyNumberFormat="1" applyFont="1" applyBorder="1" applyAlignment="1">
      <alignment vertical="top"/>
    </xf>
    <xf numFmtId="166" fontId="2" fillId="0" borderId="6" xfId="3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166" fontId="2" fillId="0" borderId="7" xfId="3" applyNumberFormat="1" applyFont="1" applyBorder="1" applyAlignment="1">
      <alignment vertical="top"/>
    </xf>
    <xf numFmtId="0" fontId="10" fillId="0" borderId="8" xfId="0" applyFont="1" applyBorder="1" applyAlignment="1">
      <alignment horizontal="right" vertical="top"/>
    </xf>
    <xf numFmtId="0" fontId="0" fillId="0" borderId="5" xfId="0" applyBorder="1" applyAlignment="1">
      <alignment vertical="top" wrapText="1"/>
    </xf>
    <xf numFmtId="167" fontId="0" fillId="0" borderId="5" xfId="1" applyNumberFormat="1" applyFont="1" applyBorder="1" applyAlignment="1">
      <alignment vertical="top"/>
    </xf>
    <xf numFmtId="166" fontId="2" fillId="0" borderId="5" xfId="0" applyNumberFormat="1" applyFont="1" applyBorder="1" applyAlignment="1">
      <alignment vertical="top"/>
    </xf>
    <xf numFmtId="167" fontId="2" fillId="0" borderId="5" xfId="1" applyNumberFormat="1" applyFont="1" applyBorder="1" applyAlignment="1">
      <alignment vertical="top"/>
    </xf>
    <xf numFmtId="0" fontId="2" fillId="0" borderId="9" xfId="0" applyFont="1" applyBorder="1"/>
    <xf numFmtId="166" fontId="0" fillId="0" borderId="10" xfId="3" applyNumberFormat="1" applyFont="1" applyBorder="1"/>
    <xf numFmtId="166" fontId="2" fillId="0" borderId="11" xfId="0" applyNumberFormat="1" applyFont="1" applyBorder="1"/>
    <xf numFmtId="0" fontId="12" fillId="4" borderId="0" xfId="5" applyFont="1"/>
    <xf numFmtId="166" fontId="9" fillId="0" borderId="5" xfId="3" applyNumberFormat="1" applyFont="1" applyFill="1" applyBorder="1"/>
    <xf numFmtId="166" fontId="9" fillId="0" borderId="6" xfId="3" applyNumberFormat="1" applyFont="1" applyFill="1" applyBorder="1"/>
    <xf numFmtId="166" fontId="2" fillId="0" borderId="7" xfId="3" applyNumberFormat="1" applyFont="1" applyFill="1" applyBorder="1"/>
    <xf numFmtId="0" fontId="13" fillId="5" borderId="0" xfId="0" applyFont="1" applyFill="1"/>
    <xf numFmtId="0" fontId="14" fillId="0" borderId="0" xfId="0" applyFont="1"/>
    <xf numFmtId="0" fontId="14" fillId="5" borderId="0" xfId="0" applyFont="1" applyFill="1"/>
    <xf numFmtId="0" fontId="14" fillId="0" borderId="0" xfId="0" applyFont="1" applyFill="1"/>
    <xf numFmtId="166" fontId="10" fillId="0" borderId="5" xfId="3" applyNumberFormat="1" applyFont="1" applyFill="1" applyBorder="1"/>
    <xf numFmtId="166" fontId="10" fillId="0" borderId="6" xfId="3" applyNumberFormat="1" applyFont="1" applyFill="1" applyBorder="1"/>
  </cellXfs>
  <cellStyles count="6">
    <cellStyle name="Accent1" xfId="4" builtinId="29"/>
    <cellStyle name="Accent5" xfId="5" builtinId="45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'Graphic 1 and 2'!$B$21</c:f>
              <c:strCache>
                <c:ptCount val="1"/>
                <c:pt idx="0">
                  <c:v>Total Rate Base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2020</c:v>
              </c:pt>
            </c:numLit>
          </c:cat>
          <c:val>
            <c:numRef>
              <c:f>'Graphic 1 and 2'!$F$21</c:f>
              <c:numCache>
                <c:formatCode>_("$"* #,##0_);_("$"* \(#,##0\);_("$"* "-"??_);_(@_)</c:formatCode>
                <c:ptCount val="1"/>
                <c:pt idx="0">
                  <c:v>1821261673.6666665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D-4672-B11E-A928AD835623}"/>
            </c:ext>
          </c:extLst>
        </c:ser>
        <c:ser>
          <c:idx val="1"/>
          <c:order val="1"/>
          <c:tx>
            <c:v>Total Operating 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2020</c:v>
              </c:pt>
            </c:numLit>
          </c:cat>
          <c:val>
            <c:numRef>
              <c:f>'Graphic 1 and 2'!$F$10</c:f>
              <c:numCache>
                <c:formatCode>_("$"* #,##0_);_("$"* \(#,##0\);_("$"* "-"??_);_(@_)</c:formatCode>
                <c:ptCount val="1"/>
                <c:pt idx="0">
                  <c:v>740108443.20611179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D-4672-B11E-A928AD83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972448"/>
        <c:axId val="1448980768"/>
      </c:barChart>
      <c:catAx>
        <c:axId val="144897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980768"/>
        <c:crosses val="autoZero"/>
        <c:auto val="1"/>
        <c:lblAlgn val="ctr"/>
        <c:lblOffset val="100"/>
        <c:noMultiLvlLbl val="0"/>
      </c:catAx>
      <c:valAx>
        <c:axId val="144898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97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4094488188975"/>
          <c:y val="0.86631889763779524"/>
          <c:w val="0.40589588801399823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Est. Percent of 2019 Res. Bill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'Graphic 3'!$H$2</c:f>
              <c:strCache>
                <c:ptCount val="1"/>
                <c:pt idx="0">
                  <c:v>Percent of Bill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C1-4975-9C8D-67702C9F05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C1-4975-9C8D-67702C9F05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C1-4975-9C8D-67702C9F05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C1-4975-9C8D-67702C9F05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'Graphic 3'!$B$3:$B$6</c:f>
              <c:strCache>
                <c:ptCount val="4"/>
                <c:pt idx="0">
                  <c:v>Rate Base</c:v>
                </c:pt>
                <c:pt idx="1">
                  <c:v>Volumeteric Charge</c:v>
                </c:pt>
                <c:pt idx="2">
                  <c:v>Monthly Fixed</c:v>
                </c:pt>
                <c:pt idx="3">
                  <c:v>WACOG</c:v>
                </c:pt>
              </c:strCache>
            </c:strRef>
          </c:cat>
          <c:val>
            <c:numRef>
              <c:f>'Graphic 3'!$H$3:$H$6</c:f>
              <c:numCache>
                <c:formatCode>0%</c:formatCode>
                <c:ptCount val="4"/>
                <c:pt idx="0">
                  <c:v>0.50286810739443555</c:v>
                </c:pt>
                <c:pt idx="1">
                  <c:v>0.1503280922447727</c:v>
                </c:pt>
                <c:pt idx="2">
                  <c:v>0.13951180298849489</c:v>
                </c:pt>
                <c:pt idx="3">
                  <c:v>0.20729199737229684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F-45D7-9A5E-A755FAE7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283FF56B-80A5-4E72-9C40-4E73C8005AC6}"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400"/>
                </a:pPr>
                <a:endParaRPr lang="en-US" sz="1400"/>
              </a:p>
            </cx:txPr>
            <cx:visibility seriesName="0" categoryName="1" value="1"/>
            <cx:separator>
</cx:separator>
            <cx:dataLabel idx="2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en-US" sz="900"/>
                    <a:t>Taxes 
 $46,298,125 </a:t>
                  </a:r>
                </a:p>
              </cx:txPr>
              <cx:visibility seriesName="0" categoryName="1" value="1"/>
              <cx:separator>
</cx:separator>
            </cx:dataLabel>
            <cx:dataLabel idx="3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en-US" sz="900"/>
                    <a:t>Other taxes &amp; fees
 $35,675,905 </a:t>
                  </a:r>
                </a:p>
              </cx:txPr>
              <cx:visibility seriesName="0" categoryName="1" value="1"/>
              <cx:separator>
</cx:separator>
            </cx:dataLabel>
            <cx:dataLabel idx="4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en-US" sz="1100"/>
                    <a:t>Depreciation/amortization
 $104,363,786 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101600</xdr:rowOff>
    </xdr:from>
    <xdr:to>
      <xdr:col>12</xdr:col>
      <xdr:colOff>463550</xdr:colOff>
      <xdr:row>24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800" y="101600"/>
          <a:ext cx="7727950" cy="44069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sng"/>
            <a:t>Overview of</a:t>
          </a:r>
          <a:r>
            <a:rPr lang="en-US" sz="1400" b="1" u="sng" baseline="0"/>
            <a:t> Content and User Guide</a:t>
          </a:r>
          <a:endParaRPr lang="en-US" sz="1400" b="1" u="sng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one of two Excel workbooks containing the foundational data from Staff's Phase 1 of the Natural Gas Fact Finding. </a:t>
          </a:r>
          <a:r>
            <a:rPr lang="en-US" sz="1100"/>
            <a:t>This Excel workbook contains the </a:t>
          </a:r>
          <a:r>
            <a:rPr lang="en-US" sz="1100">
              <a:solidFill>
                <a:sysClr val="windowText" lastClr="000000"/>
              </a:solidFill>
            </a:rPr>
            <a:t>2016 through</a:t>
          </a:r>
          <a:r>
            <a:rPr lang="en-US" sz="1100" baseline="0">
              <a:solidFill>
                <a:sysClr val="windowText" lastClr="000000"/>
              </a:solidFill>
            </a:rPr>
            <a:t> 2020 annual results of operations (ROO) </a:t>
          </a:r>
          <a:r>
            <a:rPr lang="en-US" sz="1100"/>
            <a:t>of the gas</a:t>
          </a:r>
          <a:r>
            <a:rPr lang="en-US" sz="1100" baseline="0"/>
            <a:t> companies </a:t>
          </a:r>
          <a:r>
            <a:rPr lang="en-US" sz="1100" b="1" i="1" baseline="0"/>
            <a:t>and</a:t>
          </a:r>
          <a:r>
            <a:rPr lang="en-US" sz="1100" baseline="0"/>
            <a:t> the graphics used in Staff's May 27, 2021 PowerPoint presentation based on this data.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Staff assembled this public data into one location so as to better understand the financial operations of the gas companies. </a:t>
          </a:r>
          <a:endParaRPr lang="en-US">
            <a:effectLst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ROO data covers such things as operating costs, rate of return, plant in service, and depreciation of assets at a high level. The worksheets with graphics are listed in the order used in the PowerPoint, beginning on page 52 of the PowerPoint.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The PowerPoint can be found here: https://www.oregon.gov/puc/utilities/Documents/EO20-04-NGFF-Plan-WS1-Presentation.pdf.  </a:t>
          </a:r>
        </a:p>
        <a:p>
          <a:endParaRPr lang="en-US" sz="1100" baseline="0"/>
        </a:p>
        <a:p>
          <a:r>
            <a:rPr lang="en-US" sz="1100" baseline="0"/>
            <a:t>The underlying data found in this Excel workbook and used in the PowerPoint can be found in the following dockets: </a:t>
          </a:r>
        </a:p>
        <a:p>
          <a:endParaRPr lang="en-US" sz="1100" baseline="0"/>
        </a:p>
        <a:p>
          <a:r>
            <a:rPr lang="en-US" sz="1100" u="sng" baseline="0"/>
            <a:t>Avista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ROO: RG 34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FERC Form-2: RG 35</a:t>
          </a:r>
        </a:p>
        <a:p>
          <a:endParaRPr lang="en-US" sz="1200" b="1" baseline="0">
            <a:solidFill>
              <a:schemeClr val="accent2">
                <a:lumMod val="75000"/>
              </a:schemeClr>
            </a:solidFill>
          </a:endParaRPr>
        </a:p>
        <a:p>
          <a:r>
            <a:rPr lang="en-US" sz="1100" u="sng" baseline="0"/>
            <a:t>CNG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ROO: RG 36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FERC Form-2: RG 33</a:t>
          </a:r>
        </a:p>
        <a:p>
          <a:endParaRPr lang="en-US">
            <a:solidFill>
              <a:schemeClr val="accent2">
                <a:lumMod val="75000"/>
              </a:schemeClr>
            </a:solidFill>
            <a:effectLst/>
          </a:endParaRPr>
        </a:p>
        <a:p>
          <a:r>
            <a:rPr lang="en-US" sz="1100" u="sng" baseline="0"/>
            <a:t>NWN</a:t>
          </a:r>
          <a:endParaRPr lang="en-US" sz="1100" u="none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ROO: RG 40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FERC Form-2: RG 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288017</xdr:colOff>
      <xdr:row>0</xdr:row>
      <xdr:rowOff>148772</xdr:rowOff>
    </xdr:from>
    <xdr:to>
      <xdr:col>17</xdr:col>
      <xdr:colOff>595992</xdr:colOff>
      <xdr:row>15</xdr:row>
      <xdr:rowOff>116568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285749</xdr:colOff>
      <xdr:row>19</xdr:row>
      <xdr:rowOff>98424</xdr:rowOff>
    </xdr:from>
    <xdr:to>
      <xdr:col>17</xdr:col>
      <xdr:colOff>507999</xdr:colOff>
      <xdr:row>39</xdr:row>
      <xdr:rowOff>108857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</xdr:row>
      <xdr:rowOff>63500</xdr:rowOff>
    </xdr:from>
    <xdr:to>
      <xdr:col>18</xdr:col>
      <xdr:colOff>241300</xdr:colOff>
      <xdr:row>19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19" sqref="G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5"/>
  <sheetViews>
    <sheetView workbookViewId="0">
      <pane xSplit="1" ySplit="1" topLeftCell="B32" activePane="bottomRight" state="frozen"/>
      <selection pane="topRight" activeCell="B1" sqref="B1"/>
      <selection pane="bottomLeft" activeCell="A2" sqref="A2"/>
      <selection pane="bottomRight" sqref="A1:Q1048576"/>
    </sheetView>
  </sheetViews>
  <sheetFormatPr defaultRowHeight="15" x14ac:dyDescent="0.25"/>
  <cols>
    <col min="1" max="1" width="29" style="4" bestFit="1" customWidth="1"/>
    <col min="2" max="4" width="19.42578125" style="1" customWidth="1"/>
    <col min="5" max="6" width="19.42578125" customWidth="1"/>
    <col min="7" max="7" width="4.42578125" customWidth="1"/>
    <col min="8" max="8" width="15.140625" bestFit="1" customWidth="1"/>
    <col min="9" max="13" width="18.7109375" customWidth="1"/>
    <col min="14" max="14" width="6.140625" customWidth="1"/>
    <col min="15" max="15" width="17.5703125" customWidth="1"/>
    <col min="16" max="20" width="18.28515625" customWidth="1"/>
    <col min="21" max="21" width="13.85546875" customWidth="1"/>
    <col min="23" max="23" width="14.28515625" bestFit="1" customWidth="1"/>
  </cols>
  <sheetData>
    <row r="1" spans="1:23" ht="31.5" x14ac:dyDescent="0.25">
      <c r="A1" s="24" t="s">
        <v>0</v>
      </c>
      <c r="B1" s="23">
        <v>2020</v>
      </c>
      <c r="C1" s="23">
        <v>2019</v>
      </c>
      <c r="D1" s="23">
        <v>2018</v>
      </c>
      <c r="E1" s="23">
        <v>2017</v>
      </c>
      <c r="F1" s="23">
        <v>2016</v>
      </c>
      <c r="H1" s="23" t="s">
        <v>1</v>
      </c>
      <c r="I1" s="23">
        <v>2020</v>
      </c>
      <c r="J1" s="23">
        <v>2019</v>
      </c>
      <c r="K1" s="23">
        <v>2018</v>
      </c>
      <c r="L1" s="23">
        <v>2017</v>
      </c>
      <c r="M1" s="23">
        <v>2016</v>
      </c>
      <c r="N1" s="23"/>
      <c r="O1" s="7" t="s">
        <v>2</v>
      </c>
      <c r="P1" s="23">
        <v>2020</v>
      </c>
      <c r="Q1" s="23">
        <v>2019</v>
      </c>
      <c r="R1" s="23">
        <v>2018</v>
      </c>
      <c r="S1" s="23">
        <v>2017</v>
      </c>
      <c r="T1" s="23">
        <v>2016</v>
      </c>
    </row>
    <row r="2" spans="1:23" x14ac:dyDescent="0.25">
      <c r="A2" s="4" t="s">
        <v>3</v>
      </c>
      <c r="C2" s="2"/>
      <c r="D2" s="2"/>
      <c r="W2" s="29"/>
    </row>
    <row r="3" spans="1:23" x14ac:dyDescent="0.25">
      <c r="A3" s="10" t="s">
        <v>4</v>
      </c>
      <c r="C3" s="2"/>
      <c r="D3" s="2"/>
      <c r="U3" s="29"/>
      <c r="W3" s="29">
        <v>-511110</v>
      </c>
    </row>
    <row r="4" spans="1:23" x14ac:dyDescent="0.25">
      <c r="A4" s="4" t="s">
        <v>5</v>
      </c>
      <c r="B4" s="2">
        <v>608022630.43209147</v>
      </c>
      <c r="C4" s="2">
        <v>582792.31795125501</v>
      </c>
      <c r="D4" s="2">
        <v>607200.88018889539</v>
      </c>
      <c r="E4" s="2">
        <v>652927</v>
      </c>
      <c r="F4" s="2">
        <v>634541.62108906894</v>
      </c>
      <c r="I4" s="2">
        <v>96856796</v>
      </c>
      <c r="J4" s="2">
        <v>87990414</v>
      </c>
      <c r="K4" s="2">
        <v>89165364</v>
      </c>
      <c r="L4" s="2">
        <v>96536909</v>
      </c>
      <c r="M4" s="2">
        <v>93196778</v>
      </c>
      <c r="N4" s="2"/>
      <c r="O4" s="2"/>
      <c r="P4" s="2">
        <v>40476714</v>
      </c>
      <c r="Q4" s="2">
        <v>37648100.170000002</v>
      </c>
      <c r="R4" s="2">
        <v>59535461.759999998</v>
      </c>
      <c r="S4" s="2">
        <v>59895193.939999998</v>
      </c>
      <c r="T4" s="2">
        <v>59573714.799999997</v>
      </c>
      <c r="U4" s="2"/>
      <c r="W4" s="29">
        <v>-26471195</v>
      </c>
    </row>
    <row r="5" spans="1:23" x14ac:dyDescent="0.25">
      <c r="A5" s="15" t="s">
        <v>6</v>
      </c>
      <c r="B5" s="3">
        <v>38982000</v>
      </c>
      <c r="C5" s="3">
        <v>33859</v>
      </c>
      <c r="D5" s="3">
        <v>15927</v>
      </c>
      <c r="E5" s="3">
        <v>15408</v>
      </c>
      <c r="F5" s="3">
        <v>10614</v>
      </c>
      <c r="I5" s="3">
        <f>2659301+39242895</f>
        <v>41902196</v>
      </c>
      <c r="J5" s="3">
        <v>56311581</v>
      </c>
      <c r="K5" s="3">
        <v>56807395</v>
      </c>
      <c r="L5" s="3">
        <v>63587799</v>
      </c>
      <c r="M5" s="3">
        <v>69459170</v>
      </c>
      <c r="N5" s="31"/>
      <c r="O5" s="31"/>
      <c r="P5" s="3">
        <v>31343711</v>
      </c>
      <c r="Q5" s="3">
        <v>29422487</v>
      </c>
      <c r="R5" s="3">
        <v>2805570</v>
      </c>
      <c r="S5" s="3">
        <v>4379588</v>
      </c>
      <c r="T5" s="3">
        <v>4307688</v>
      </c>
      <c r="U5" s="31"/>
      <c r="W5" s="29">
        <v>0</v>
      </c>
    </row>
    <row r="6" spans="1:23" ht="15.75" x14ac:dyDescent="0.25">
      <c r="A6" s="7" t="s">
        <v>7</v>
      </c>
      <c r="B6" s="2">
        <f>SUM(B4:B5)</f>
        <v>647004630.43209147</v>
      </c>
      <c r="C6" s="2">
        <f t="shared" ref="C6:F6" si="0">SUM(C4:C5)</f>
        <v>616651.31795125501</v>
      </c>
      <c r="D6" s="2">
        <f t="shared" si="0"/>
        <v>623127.88018889539</v>
      </c>
      <c r="E6" s="2">
        <f t="shared" si="0"/>
        <v>668335</v>
      </c>
      <c r="F6" s="2">
        <f t="shared" si="0"/>
        <v>645155.62108906894</v>
      </c>
      <c r="I6" s="2">
        <f t="shared" ref="I6:M6" si="1">SUM(I4:I5)</f>
        <v>138758992</v>
      </c>
      <c r="J6" s="2">
        <f t="shared" si="1"/>
        <v>144301995</v>
      </c>
      <c r="K6" s="2">
        <f t="shared" si="1"/>
        <v>145972759</v>
      </c>
      <c r="L6" s="2">
        <f t="shared" si="1"/>
        <v>160124708</v>
      </c>
      <c r="M6" s="2">
        <f t="shared" si="1"/>
        <v>162655948</v>
      </c>
      <c r="N6" s="2"/>
      <c r="O6" s="2"/>
      <c r="P6" s="2">
        <f t="shared" ref="P6:T6" si="2">SUM(P4:P5)</f>
        <v>71820425</v>
      </c>
      <c r="Q6" s="2">
        <f t="shared" si="2"/>
        <v>67070587.170000002</v>
      </c>
      <c r="R6" s="2">
        <f t="shared" si="2"/>
        <v>62341031.759999998</v>
      </c>
      <c r="S6" s="2">
        <f t="shared" si="2"/>
        <v>64274781.939999998</v>
      </c>
      <c r="T6" s="2">
        <f t="shared" si="2"/>
        <v>63881402.799999997</v>
      </c>
      <c r="U6" s="2"/>
      <c r="W6" s="29">
        <v>2524201</v>
      </c>
    </row>
    <row r="7" spans="1:23" x14ac:dyDescent="0.25">
      <c r="A7" s="10" t="s">
        <v>8</v>
      </c>
      <c r="B7" s="2"/>
      <c r="C7" s="2"/>
      <c r="D7" s="2"/>
      <c r="E7" s="2"/>
      <c r="F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W7" s="29"/>
    </row>
    <row r="8" spans="1:23" x14ac:dyDescent="0.25">
      <c r="A8" s="5" t="s">
        <v>9</v>
      </c>
      <c r="B8" s="2">
        <v>244862044.36883542</v>
      </c>
      <c r="C8" s="2">
        <v>220104.4910109801</v>
      </c>
      <c r="D8" s="2">
        <v>250436.70473145414</v>
      </c>
      <c r="E8" s="2">
        <v>287282</v>
      </c>
      <c r="F8" s="2">
        <v>273756.92414339067</v>
      </c>
      <c r="I8" s="2">
        <v>69841305</v>
      </c>
      <c r="J8" s="2">
        <v>80870154</v>
      </c>
      <c r="K8" s="2">
        <v>81942769</v>
      </c>
      <c r="L8" s="2">
        <v>94252632</v>
      </c>
      <c r="M8" s="2">
        <v>98539543</v>
      </c>
      <c r="N8" s="2"/>
      <c r="O8" s="2"/>
      <c r="P8" s="2">
        <v>33442279</v>
      </c>
      <c r="Q8" s="2">
        <v>31489132.52</v>
      </c>
      <c r="R8" s="2">
        <v>29629943.949999999</v>
      </c>
      <c r="S8" s="2">
        <v>30733687.739999998</v>
      </c>
      <c r="T8" s="2">
        <v>31523645.190000001</v>
      </c>
      <c r="U8" s="2"/>
      <c r="W8" s="29"/>
    </row>
    <row r="9" spans="1:23" x14ac:dyDescent="0.25">
      <c r="A9" s="5" t="s">
        <v>10</v>
      </c>
      <c r="B9" s="3">
        <v>162345000</v>
      </c>
      <c r="C9" s="3">
        <v>166994</v>
      </c>
      <c r="D9" s="3">
        <v>145895</v>
      </c>
      <c r="E9" s="3">
        <v>143043</v>
      </c>
      <c r="F9" s="3">
        <v>133306</v>
      </c>
      <c r="I9" s="3">
        <f>15470554+13238522</f>
        <v>28709076</v>
      </c>
      <c r="J9" s="3">
        <v>27353337</v>
      </c>
      <c r="K9" s="3">
        <v>24848420</v>
      </c>
      <c r="L9" s="3">
        <v>25790305</v>
      </c>
      <c r="M9" s="3">
        <v>24828563</v>
      </c>
      <c r="N9" s="31"/>
      <c r="O9" s="31"/>
      <c r="P9" s="3">
        <v>14570923</v>
      </c>
      <c r="Q9" s="3">
        <v>14513848</v>
      </c>
      <c r="R9" s="3">
        <v>13846861</v>
      </c>
      <c r="S9" s="3">
        <v>14077450</v>
      </c>
      <c r="T9" s="3">
        <v>13897960</v>
      </c>
      <c r="U9" s="31"/>
      <c r="W9" s="29"/>
    </row>
    <row r="10" spans="1:23" ht="15.75" x14ac:dyDescent="0.25">
      <c r="A10" s="7" t="s">
        <v>7</v>
      </c>
      <c r="B10" s="2">
        <f>SUM(B8:B9)</f>
        <v>407207044.36883545</v>
      </c>
      <c r="C10" s="2">
        <f t="shared" ref="C10:F10" si="3">SUM(C8:C9)</f>
        <v>387098.4910109801</v>
      </c>
      <c r="D10" s="2">
        <f t="shared" si="3"/>
        <v>396331.70473145414</v>
      </c>
      <c r="E10" s="2">
        <f t="shared" si="3"/>
        <v>430325</v>
      </c>
      <c r="F10" s="2">
        <f t="shared" si="3"/>
        <v>407062.92414339067</v>
      </c>
      <c r="I10" s="2">
        <f t="shared" ref="I10:M10" si="4">SUM(I8:I9)</f>
        <v>98550381</v>
      </c>
      <c r="J10" s="2">
        <f t="shared" si="4"/>
        <v>108223491</v>
      </c>
      <c r="K10" s="2">
        <f t="shared" si="4"/>
        <v>106791189</v>
      </c>
      <c r="L10" s="2">
        <f t="shared" si="4"/>
        <v>120042937</v>
      </c>
      <c r="M10" s="2">
        <f t="shared" si="4"/>
        <v>123368106</v>
      </c>
      <c r="N10" s="2"/>
      <c r="O10" s="2"/>
      <c r="P10" s="2">
        <f t="shared" ref="P10:T10" si="5">SUM(P8:P9)</f>
        <v>48013202</v>
      </c>
      <c r="Q10" s="2">
        <f t="shared" si="5"/>
        <v>46002980.519999996</v>
      </c>
      <c r="R10" s="2">
        <f t="shared" si="5"/>
        <v>43476804.950000003</v>
      </c>
      <c r="S10" s="2">
        <f t="shared" si="5"/>
        <v>44811137.739999995</v>
      </c>
      <c r="T10" s="2">
        <f t="shared" si="5"/>
        <v>45421605.189999998</v>
      </c>
      <c r="U10" s="2"/>
      <c r="W10" s="29"/>
    </row>
    <row r="11" spans="1:23" ht="30" x14ac:dyDescent="0.25">
      <c r="A11" s="6" t="s">
        <v>11</v>
      </c>
      <c r="B11" s="2"/>
      <c r="C11" s="2"/>
      <c r="D11" s="2"/>
      <c r="E11" s="2"/>
      <c r="F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W11" s="29"/>
    </row>
    <row r="12" spans="1:23" x14ac:dyDescent="0.25">
      <c r="A12" s="5" t="s">
        <v>12</v>
      </c>
      <c r="B12" s="2">
        <v>40068000</v>
      </c>
      <c r="C12" s="2">
        <v>35696</v>
      </c>
      <c r="D12" s="2">
        <v>42923</v>
      </c>
      <c r="E12" s="2">
        <v>59284</v>
      </c>
      <c r="F12" s="2">
        <v>58973</v>
      </c>
      <c r="I12" s="2">
        <v>1542886</v>
      </c>
      <c r="J12" s="2">
        <v>1269732</v>
      </c>
      <c r="K12" s="2">
        <v>1946639</v>
      </c>
      <c r="L12" s="2">
        <v>5413217.75</v>
      </c>
      <c r="M12" s="2">
        <v>5899189</v>
      </c>
      <c r="N12" s="2"/>
      <c r="O12" s="2"/>
      <c r="P12" s="2">
        <v>4687239</v>
      </c>
      <c r="Q12" s="2">
        <v>3750587</v>
      </c>
      <c r="R12" s="2">
        <v>3262439</v>
      </c>
      <c r="S12" s="2">
        <v>5296262</v>
      </c>
      <c r="T12" s="2">
        <v>5020450</v>
      </c>
      <c r="U12" s="2"/>
      <c r="W12" s="29">
        <f>ROUND(SUM(W3:W11),0)</f>
        <v>-24458104</v>
      </c>
    </row>
    <row r="13" spans="1:23" x14ac:dyDescent="0.25">
      <c r="A13" s="5" t="s">
        <v>13</v>
      </c>
      <c r="B13" s="2">
        <v>23097374.643845063</v>
      </c>
      <c r="C13" s="2">
        <v>22652.563715718716</v>
      </c>
      <c r="D13" s="2">
        <v>23954.980076662177</v>
      </c>
      <c r="E13" s="2">
        <v>23978</v>
      </c>
      <c r="F13" s="2">
        <v>22967.887880754854</v>
      </c>
      <c r="I13" s="2">
        <v>9854349</v>
      </c>
      <c r="J13" s="2">
        <v>8057474</v>
      </c>
      <c r="K13" s="2">
        <v>7728287</v>
      </c>
      <c r="L13" s="2">
        <v>7299679</v>
      </c>
      <c r="M13" s="2">
        <v>6554973</v>
      </c>
      <c r="N13" s="2"/>
      <c r="O13" s="2"/>
      <c r="P13" s="2">
        <v>2724181</v>
      </c>
      <c r="Q13" s="2">
        <v>2472197.4700000002</v>
      </c>
      <c r="R13" s="2">
        <v>2292725.0699999998</v>
      </c>
      <c r="S13" s="2">
        <v>2155563.63</v>
      </c>
      <c r="T13" s="2">
        <v>1996088.44</v>
      </c>
      <c r="U13" s="2"/>
      <c r="W13" s="29"/>
    </row>
    <row r="14" spans="1:23" x14ac:dyDescent="0.25">
      <c r="A14" s="5" t="s">
        <v>14</v>
      </c>
      <c r="B14" s="3">
        <v>85544847.193431228</v>
      </c>
      <c r="C14" s="3">
        <v>76837.835308875117</v>
      </c>
      <c r="D14" s="3">
        <v>74255.212272151242</v>
      </c>
      <c r="E14" s="3">
        <v>71062</v>
      </c>
      <c r="F14" s="3">
        <v>68434.501279070566</v>
      </c>
      <c r="I14" s="3">
        <v>10542282</v>
      </c>
      <c r="J14" s="3">
        <v>11331500</v>
      </c>
      <c r="K14" s="3">
        <v>13174322</v>
      </c>
      <c r="L14" s="3">
        <v>11693592</v>
      </c>
      <c r="M14" s="3">
        <v>10499242</v>
      </c>
      <c r="N14" s="31"/>
      <c r="O14" s="31"/>
      <c r="P14" s="3">
        <v>8276657</v>
      </c>
      <c r="Q14" s="3">
        <v>7772989.6399999997</v>
      </c>
      <c r="R14" s="3">
        <v>7064493.7000000002</v>
      </c>
      <c r="S14" s="3">
        <v>6437588.04</v>
      </c>
      <c r="T14" s="3">
        <v>6020016.9800000004</v>
      </c>
      <c r="U14" s="31"/>
      <c r="W14" s="29"/>
    </row>
    <row r="15" spans="1:23" ht="31.5" x14ac:dyDescent="0.25">
      <c r="A15" s="8" t="s">
        <v>15</v>
      </c>
      <c r="B15" s="9">
        <f>SUM(B12:B14)</f>
        <v>148710221.83727628</v>
      </c>
      <c r="C15" s="9">
        <f t="shared" ref="C15:F15" si="6">SUM(C12:C14)</f>
        <v>135186.39902459382</v>
      </c>
      <c r="D15" s="9">
        <f t="shared" si="6"/>
        <v>141133.19234881341</v>
      </c>
      <c r="E15" s="9">
        <f t="shared" si="6"/>
        <v>154324</v>
      </c>
      <c r="F15" s="9">
        <f t="shared" si="6"/>
        <v>150375.38915982543</v>
      </c>
      <c r="I15" s="9">
        <f>SUM(I12:I14)</f>
        <v>21939517</v>
      </c>
      <c r="J15" s="9">
        <f t="shared" ref="J15:M15" si="7">SUM(J12:J14)</f>
        <v>20658706</v>
      </c>
      <c r="K15" s="9">
        <f t="shared" si="7"/>
        <v>22849248</v>
      </c>
      <c r="L15" s="9">
        <f t="shared" si="7"/>
        <v>24406488.75</v>
      </c>
      <c r="M15" s="9">
        <f t="shared" si="7"/>
        <v>22953404</v>
      </c>
      <c r="N15" s="9"/>
      <c r="O15" s="9"/>
      <c r="P15" s="9">
        <f t="shared" ref="P15:T15" si="8">SUM(P12:P14)</f>
        <v>15688077</v>
      </c>
      <c r="Q15" s="9">
        <f t="shared" si="8"/>
        <v>13995774.109999999</v>
      </c>
      <c r="R15" s="9">
        <f t="shared" si="8"/>
        <v>12619657.77</v>
      </c>
      <c r="S15" s="9">
        <f t="shared" si="8"/>
        <v>13889413.67</v>
      </c>
      <c r="T15" s="9">
        <f t="shared" si="8"/>
        <v>13036555.42</v>
      </c>
      <c r="U15" s="9"/>
      <c r="W15" s="29"/>
    </row>
    <row r="16" spans="1:23" ht="16.5" thickBot="1" x14ac:dyDescent="0.3">
      <c r="A16" s="7" t="s">
        <v>16</v>
      </c>
      <c r="B16" s="16">
        <f>B10+B15</f>
        <v>555917266.20611167</v>
      </c>
      <c r="C16" s="16">
        <f t="shared" ref="C16:F16" si="9">C10+C15</f>
        <v>522284.89003557392</v>
      </c>
      <c r="D16" s="16">
        <f t="shared" si="9"/>
        <v>537464.89708026755</v>
      </c>
      <c r="E16" s="16">
        <f t="shared" si="9"/>
        <v>584649</v>
      </c>
      <c r="F16" s="16">
        <f t="shared" si="9"/>
        <v>557438.31330321613</v>
      </c>
      <c r="I16" s="16">
        <f>I10+I15</f>
        <v>120489898</v>
      </c>
      <c r="J16" s="16">
        <f t="shared" ref="J16:M16" si="10">J10+J15</f>
        <v>128882197</v>
      </c>
      <c r="K16" s="16">
        <f t="shared" si="10"/>
        <v>129640437</v>
      </c>
      <c r="L16" s="16">
        <f t="shared" si="10"/>
        <v>144449425.75</v>
      </c>
      <c r="M16" s="16">
        <f t="shared" si="10"/>
        <v>146321510</v>
      </c>
      <c r="N16" s="31"/>
      <c r="O16" s="31"/>
      <c r="P16" s="16">
        <f t="shared" ref="P16:T16" si="11">P10+P15</f>
        <v>63701279</v>
      </c>
      <c r="Q16" s="16">
        <f t="shared" si="11"/>
        <v>59998754.629999995</v>
      </c>
      <c r="R16" s="16">
        <f t="shared" si="11"/>
        <v>56096462.719999999</v>
      </c>
      <c r="S16" s="16">
        <f t="shared" si="11"/>
        <v>58700551.409999996</v>
      </c>
      <c r="T16" s="16">
        <f t="shared" si="11"/>
        <v>58458160.609999999</v>
      </c>
      <c r="U16" s="31"/>
    </row>
    <row r="17" spans="1:21" ht="24.75" customHeight="1" thickTop="1" thickBot="1" x14ac:dyDescent="0.3">
      <c r="A17" s="11" t="s">
        <v>17</v>
      </c>
      <c r="B17" s="17">
        <f>B6-B16</f>
        <v>91087364.225979805</v>
      </c>
      <c r="C17" s="17">
        <f t="shared" ref="C17:F17" si="12">C6-C16</f>
        <v>94366.427915681095</v>
      </c>
      <c r="D17" s="17">
        <f t="shared" si="12"/>
        <v>85662.983108627843</v>
      </c>
      <c r="E17" s="17">
        <f t="shared" si="12"/>
        <v>83686</v>
      </c>
      <c r="F17" s="17">
        <f t="shared" si="12"/>
        <v>87717.307785852812</v>
      </c>
      <c r="I17" s="30">
        <f>I6-I16</f>
        <v>18269094</v>
      </c>
      <c r="J17" s="17">
        <f t="shared" ref="J17:M17" si="13">J6-J16</f>
        <v>15419798</v>
      </c>
      <c r="K17" s="17">
        <f>K6-K16</f>
        <v>16332322</v>
      </c>
      <c r="L17" s="17">
        <f t="shared" si="13"/>
        <v>15675282.25</v>
      </c>
      <c r="M17" s="17">
        <f t="shared" si="13"/>
        <v>16334438</v>
      </c>
      <c r="N17" s="32"/>
      <c r="O17" s="32"/>
      <c r="P17" s="17">
        <f t="shared" ref="P17:T17" si="14">P6-P16</f>
        <v>8119146</v>
      </c>
      <c r="Q17" s="17">
        <f t="shared" si="14"/>
        <v>7071832.5400000066</v>
      </c>
      <c r="R17" s="17">
        <f t="shared" si="14"/>
        <v>6244569.0399999991</v>
      </c>
      <c r="S17" s="17">
        <f t="shared" si="14"/>
        <v>5574230.5300000012</v>
      </c>
      <c r="T17" s="17">
        <f t="shared" si="14"/>
        <v>5423242.1899999976</v>
      </c>
      <c r="U17" s="32"/>
    </row>
    <row r="18" spans="1:21" ht="15.75" thickTop="1" x14ac:dyDescent="0.25">
      <c r="A18" s="10" t="s">
        <v>18</v>
      </c>
      <c r="B18" s="2"/>
      <c r="C18" s="2"/>
      <c r="D18" s="2"/>
      <c r="E18" s="2"/>
      <c r="F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5" t="s">
        <v>19</v>
      </c>
      <c r="B19" s="9">
        <v>3180062166.6666665</v>
      </c>
      <c r="C19" s="9">
        <v>2990830</v>
      </c>
      <c r="D19" s="2">
        <v>2864219.150736521</v>
      </c>
      <c r="E19" s="2">
        <v>2765246</v>
      </c>
      <c r="F19" s="2">
        <v>2673259.3825096684</v>
      </c>
      <c r="I19" s="2">
        <v>507286546</v>
      </c>
      <c r="J19" s="2">
        <v>474206670</v>
      </c>
      <c r="K19" s="2">
        <v>445035964</v>
      </c>
      <c r="L19" s="2">
        <v>411390477</v>
      </c>
      <c r="M19" s="2">
        <v>377169664</v>
      </c>
      <c r="N19" s="2"/>
      <c r="O19" s="2"/>
      <c r="P19" s="2">
        <v>275269011</v>
      </c>
      <c r="Q19" s="2">
        <v>254933050</v>
      </c>
      <c r="R19" s="2">
        <v>226716210.49000001</v>
      </c>
      <c r="S19" s="2">
        <v>209695352</v>
      </c>
      <c r="T19" s="2">
        <v>197221697</v>
      </c>
      <c r="U19" s="2"/>
    </row>
    <row r="20" spans="1:21" x14ac:dyDescent="0.25">
      <c r="A20" s="5" t="s">
        <v>20</v>
      </c>
      <c r="B20" s="12">
        <v>-1429816000</v>
      </c>
      <c r="C20" s="12">
        <v>-1352712</v>
      </c>
      <c r="D20" s="12">
        <v>-1291254</v>
      </c>
      <c r="E20" s="12">
        <v>-1227221</v>
      </c>
      <c r="F20" s="12">
        <v>-1164585</v>
      </c>
      <c r="I20" s="12">
        <v>-146922721</v>
      </c>
      <c r="J20" s="12">
        <v>-135953742</v>
      </c>
      <c r="K20" s="12">
        <v>-127612289</v>
      </c>
      <c r="L20" s="12">
        <v>-121008775</v>
      </c>
      <c r="M20" s="12">
        <v>-114238508</v>
      </c>
      <c r="N20" s="32"/>
      <c r="O20" s="32"/>
      <c r="P20" s="12">
        <v>-115734887</v>
      </c>
      <c r="Q20" s="12">
        <v>-109428349</v>
      </c>
      <c r="R20" s="12">
        <v>-104358212.39</v>
      </c>
      <c r="S20" s="12">
        <v>-99336089</v>
      </c>
      <c r="T20" s="12">
        <v>-93866532</v>
      </c>
      <c r="U20" s="32"/>
    </row>
    <row r="21" spans="1:21" x14ac:dyDescent="0.25">
      <c r="A21" s="5" t="s">
        <v>21</v>
      </c>
      <c r="B21" s="9">
        <f>B19+B20</f>
        <v>1750246166.6666665</v>
      </c>
      <c r="C21" s="9">
        <f t="shared" ref="C21:F21" si="15">C19+C20</f>
        <v>1638118</v>
      </c>
      <c r="D21" s="9">
        <f t="shared" si="15"/>
        <v>1572965.150736521</v>
      </c>
      <c r="E21" s="9">
        <f t="shared" si="15"/>
        <v>1538025</v>
      </c>
      <c r="F21" s="9">
        <f t="shared" si="15"/>
        <v>1508674.3825096684</v>
      </c>
      <c r="I21" s="9">
        <f t="shared" ref="I21:M21" si="16">I19+I20</f>
        <v>360363825</v>
      </c>
      <c r="J21" s="9">
        <f t="shared" si="16"/>
        <v>338252928</v>
      </c>
      <c r="K21" s="9">
        <f t="shared" si="16"/>
        <v>317423675</v>
      </c>
      <c r="L21" s="9">
        <f t="shared" si="16"/>
        <v>290381702</v>
      </c>
      <c r="M21" s="9">
        <f t="shared" si="16"/>
        <v>262931156</v>
      </c>
      <c r="N21" s="9"/>
      <c r="O21" s="9"/>
      <c r="P21" s="9">
        <f t="shared" ref="P21:T21" si="17">P19+P20</f>
        <v>159534124</v>
      </c>
      <c r="Q21" s="9">
        <f t="shared" si="17"/>
        <v>145504701</v>
      </c>
      <c r="R21" s="9">
        <f t="shared" si="17"/>
        <v>122357998.10000001</v>
      </c>
      <c r="S21" s="9">
        <f t="shared" si="17"/>
        <v>110359263</v>
      </c>
      <c r="T21" s="9">
        <f t="shared" si="17"/>
        <v>103355165</v>
      </c>
      <c r="U21" s="9"/>
    </row>
    <row r="22" spans="1:21" x14ac:dyDescent="0.25">
      <c r="A22" s="5" t="s">
        <v>22</v>
      </c>
      <c r="B22" s="12">
        <v>-354437000</v>
      </c>
      <c r="C22" s="12">
        <v>-394938</v>
      </c>
      <c r="D22" s="12">
        <v>-392997</v>
      </c>
      <c r="E22" s="12">
        <v>-376262</v>
      </c>
      <c r="F22" s="12">
        <v>-341906</v>
      </c>
      <c r="I22" s="12">
        <f>-76202666+7899888</f>
        <v>-68302778</v>
      </c>
      <c r="J22" s="12">
        <v>-67096573</v>
      </c>
      <c r="K22" s="12">
        <v>-66864880</v>
      </c>
      <c r="L22" s="12">
        <v>-61563469</v>
      </c>
      <c r="M22" s="12">
        <v>-50519881</v>
      </c>
      <c r="N22" s="32"/>
      <c r="O22" s="32"/>
      <c r="P22" s="12">
        <v>-26142664</v>
      </c>
      <c r="Q22" s="12">
        <v>-25552330</v>
      </c>
      <c r="R22" s="12">
        <v>-27263041</v>
      </c>
      <c r="S22" s="12">
        <v>-24295542</v>
      </c>
      <c r="T22" s="12">
        <v>-24458104</v>
      </c>
      <c r="U22" s="32"/>
    </row>
    <row r="23" spans="1:21" ht="15.75" thickBot="1" x14ac:dyDescent="0.3">
      <c r="A23" s="10" t="s">
        <v>23</v>
      </c>
      <c r="B23" s="14">
        <f>B21+B22</f>
        <v>1395809166.6666665</v>
      </c>
      <c r="C23" s="14">
        <f t="shared" ref="C23:F23" si="18">C21+C22</f>
        <v>1243180</v>
      </c>
      <c r="D23" s="14">
        <f t="shared" si="18"/>
        <v>1179968.150736521</v>
      </c>
      <c r="E23" s="14">
        <f t="shared" si="18"/>
        <v>1161763</v>
      </c>
      <c r="F23" s="14">
        <f t="shared" si="18"/>
        <v>1166768.3825096684</v>
      </c>
      <c r="I23" s="14">
        <f t="shared" ref="I23:M23" si="19">I21+I22</f>
        <v>292061047</v>
      </c>
      <c r="J23" s="14">
        <f t="shared" si="19"/>
        <v>271156355</v>
      </c>
      <c r="K23" s="14">
        <f t="shared" si="19"/>
        <v>250558795</v>
      </c>
      <c r="L23" s="14">
        <f t="shared" si="19"/>
        <v>228818233</v>
      </c>
      <c r="M23" s="14">
        <f t="shared" si="19"/>
        <v>212411275</v>
      </c>
      <c r="N23" s="33"/>
      <c r="O23" s="33"/>
      <c r="P23" s="14">
        <f t="shared" ref="P23:T23" si="20">P21+P22</f>
        <v>133391460</v>
      </c>
      <c r="Q23" s="14">
        <f t="shared" si="20"/>
        <v>119952371</v>
      </c>
      <c r="R23" s="14">
        <f t="shared" si="20"/>
        <v>95094957.100000009</v>
      </c>
      <c r="S23" s="14">
        <f t="shared" si="20"/>
        <v>86063721</v>
      </c>
      <c r="T23" s="14">
        <f t="shared" si="20"/>
        <v>78897061</v>
      </c>
      <c r="U23" s="33"/>
    </row>
    <row r="24" spans="1:21" ht="15.75" thickTop="1" x14ac:dyDescent="0.25">
      <c r="A24" s="4" t="s">
        <v>24</v>
      </c>
      <c r="B24" s="13">
        <v>6.5299999999999997E-2</v>
      </c>
      <c r="C24" s="13">
        <v>7.5899999999999995E-2</v>
      </c>
      <c r="D24" s="13">
        <v>7.2599999999999998E-2</v>
      </c>
      <c r="E24" s="13">
        <v>7.2000000000000008E-2</v>
      </c>
      <c r="F24" s="18">
        <v>7.5200000000000003E-2</v>
      </c>
      <c r="I24" s="18">
        <v>6.2600000000000003E-2</v>
      </c>
      <c r="J24" s="18">
        <v>5.6899999999999999E-2</v>
      </c>
      <c r="K24" s="18">
        <v>6.5199999999999994E-2</v>
      </c>
      <c r="L24" s="18">
        <v>6.8500000000000005E-2</v>
      </c>
      <c r="M24" s="18">
        <v>7.6899999999999996E-2</v>
      </c>
      <c r="N24" s="18"/>
      <c r="O24" s="18"/>
      <c r="P24" s="18">
        <v>6.0900000000000003E-2</v>
      </c>
      <c r="Q24" s="18">
        <v>5.8999999999999997E-2</v>
      </c>
      <c r="R24" s="18">
        <v>6.5699999999999995E-2</v>
      </c>
      <c r="S24" s="18">
        <v>6.4799999999999996E-2</v>
      </c>
      <c r="T24" s="18">
        <v>6.8699999999999997E-2</v>
      </c>
      <c r="U24" s="18"/>
    </row>
    <row r="25" spans="1:21" x14ac:dyDescent="0.25">
      <c r="A25" s="4" t="s">
        <v>25</v>
      </c>
      <c r="B25" s="13">
        <v>8.5626201402911398E-2</v>
      </c>
      <c r="C25" s="13">
        <v>0.10047658611535663</v>
      </c>
      <c r="D25" s="13">
        <v>9.5130470515718088E-2</v>
      </c>
      <c r="E25" s="13">
        <v>8.9979999999999991E-2</v>
      </c>
      <c r="F25" s="18">
        <v>8.8436705145764044E-2</v>
      </c>
      <c r="I25" s="18">
        <v>7.4099999999999999E-2</v>
      </c>
      <c r="J25" s="18">
        <v>6.0900000000000003E-2</v>
      </c>
      <c r="K25" s="18">
        <v>7.6100000000000001E-2</v>
      </c>
      <c r="L25" s="18">
        <v>7.9399999999999998E-2</v>
      </c>
      <c r="M25" s="18">
        <v>9.7900000000000001E-2</v>
      </c>
      <c r="N25" s="18"/>
      <c r="O25" s="18"/>
      <c r="P25" s="18">
        <v>7.9500000000000001E-2</v>
      </c>
      <c r="Q25" s="18">
        <v>6.83E-2</v>
      </c>
      <c r="R25" s="18">
        <v>7.9008980424203762E-2</v>
      </c>
      <c r="S25" s="18">
        <v>7.7596002129592889E-2</v>
      </c>
      <c r="T25" s="18">
        <v>8.66258844102714E-2</v>
      </c>
      <c r="U25" s="18"/>
    </row>
    <row r="27" spans="1:21" x14ac:dyDescent="0.25">
      <c r="A27" s="4" t="s">
        <v>26</v>
      </c>
      <c r="B27" s="2">
        <v>684153</v>
      </c>
      <c r="C27" s="2">
        <v>675380</v>
      </c>
      <c r="D27" s="2">
        <v>665771</v>
      </c>
      <c r="E27" s="2">
        <v>656031</v>
      </c>
      <c r="F27" s="2">
        <v>645883</v>
      </c>
      <c r="I27" s="2">
        <v>104133</v>
      </c>
      <c r="J27" s="2">
        <v>104170</v>
      </c>
      <c r="K27" s="2">
        <v>103037</v>
      </c>
      <c r="L27" s="2">
        <v>101704</v>
      </c>
      <c r="M27" s="2">
        <v>100471</v>
      </c>
      <c r="N27" s="2"/>
      <c r="O27" s="2"/>
      <c r="P27" s="2">
        <f>SUM(P28:P30)</f>
        <v>76989</v>
      </c>
      <c r="Q27" s="2">
        <f t="shared" ref="Q27:T27" si="21">SUM(Q28:Q30)</f>
        <v>75293</v>
      </c>
      <c r="R27" s="2">
        <f t="shared" si="21"/>
        <v>73248</v>
      </c>
      <c r="S27" s="2">
        <f t="shared" si="21"/>
        <v>71352</v>
      </c>
      <c r="T27" s="2">
        <f t="shared" si="21"/>
        <v>69504</v>
      </c>
      <c r="U27" s="2"/>
    </row>
    <row r="28" spans="1:21" x14ac:dyDescent="0.25">
      <c r="A28" s="5" t="s">
        <v>27</v>
      </c>
      <c r="B28" s="2">
        <v>621692</v>
      </c>
      <c r="C28" s="2">
        <v>611896</v>
      </c>
      <c r="D28" s="2">
        <v>602777</v>
      </c>
      <c r="E28" s="2">
        <v>593998</v>
      </c>
      <c r="F28" s="2">
        <v>584289</v>
      </c>
      <c r="I28" s="2">
        <v>92152</v>
      </c>
      <c r="J28" s="2">
        <v>92202</v>
      </c>
      <c r="K28" s="2">
        <v>91122</v>
      </c>
      <c r="L28" s="2">
        <v>89839.25</v>
      </c>
      <c r="M28" s="2">
        <v>88799.5</v>
      </c>
      <c r="N28" s="2"/>
      <c r="O28" s="2"/>
      <c r="P28" s="2">
        <v>66663</v>
      </c>
      <c r="Q28" s="2">
        <v>65048</v>
      </c>
      <c r="R28" s="2">
        <v>63133</v>
      </c>
      <c r="S28" s="2">
        <v>61354</v>
      </c>
      <c r="T28" s="2">
        <v>59633</v>
      </c>
      <c r="U28" s="2"/>
    </row>
    <row r="29" spans="1:21" x14ac:dyDescent="0.25">
      <c r="A29" s="5" t="s">
        <v>28</v>
      </c>
      <c r="B29" s="2">
        <v>61546</v>
      </c>
      <c r="C29" s="2">
        <v>62550</v>
      </c>
      <c r="D29" s="2">
        <v>61895</v>
      </c>
      <c r="E29" s="2">
        <v>60944</v>
      </c>
      <c r="F29" s="2">
        <v>60657</v>
      </c>
      <c r="I29" s="2">
        <v>11899</v>
      </c>
      <c r="J29" s="2">
        <v>11877</v>
      </c>
      <c r="K29" s="2">
        <v>11827</v>
      </c>
      <c r="L29" s="2">
        <v>11778.965958333332</v>
      </c>
      <c r="M29" s="2">
        <v>11590.090775261384</v>
      </c>
      <c r="N29" s="2"/>
      <c r="O29" s="2"/>
      <c r="P29" s="2">
        <v>10176</v>
      </c>
      <c r="Q29" s="2">
        <v>10098</v>
      </c>
      <c r="R29" s="2">
        <v>9973</v>
      </c>
      <c r="S29" s="2">
        <v>9859</v>
      </c>
      <c r="T29" s="2">
        <v>9737</v>
      </c>
      <c r="U29" s="2"/>
    </row>
    <row r="30" spans="1:21" x14ac:dyDescent="0.25">
      <c r="A30" s="5" t="s">
        <v>29</v>
      </c>
      <c r="B30" s="2">
        <v>915</v>
      </c>
      <c r="C30" s="2">
        <v>934</v>
      </c>
      <c r="D30" s="2">
        <v>1099</v>
      </c>
      <c r="E30" s="2">
        <v>1089</v>
      </c>
      <c r="F30" s="2">
        <v>937</v>
      </c>
      <c r="I30" s="2">
        <v>82</v>
      </c>
      <c r="J30" s="2">
        <v>91</v>
      </c>
      <c r="K30" s="2">
        <v>88</v>
      </c>
      <c r="L30" s="2">
        <v>85.886805158654127</v>
      </c>
      <c r="M30" s="2">
        <v>81.167388553841604</v>
      </c>
      <c r="N30" s="2"/>
      <c r="O30" s="2"/>
      <c r="P30" s="2">
        <v>150</v>
      </c>
      <c r="Q30" s="2">
        <v>147</v>
      </c>
      <c r="R30" s="2">
        <v>142</v>
      </c>
      <c r="S30" s="2">
        <v>139</v>
      </c>
      <c r="T30" s="2">
        <v>134</v>
      </c>
      <c r="U30" s="2"/>
    </row>
    <row r="32" spans="1:21" ht="30" x14ac:dyDescent="0.25">
      <c r="A32" s="25" t="s">
        <v>30</v>
      </c>
      <c r="B32" s="21">
        <v>2020</v>
      </c>
      <c r="C32" s="21">
        <v>2019</v>
      </c>
      <c r="D32" s="21">
        <v>2018</v>
      </c>
      <c r="E32" s="22">
        <v>2017</v>
      </c>
      <c r="F32" s="22">
        <v>2016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x14ac:dyDescent="0.25">
      <c r="A33" s="5" t="s">
        <v>27</v>
      </c>
      <c r="B33" s="19">
        <f>((0.49039*10)/12)+((0.57799*2)/12)</f>
        <v>0.50499000000000005</v>
      </c>
      <c r="C33" s="19">
        <f>((0.48538*3)/12)+((0.48771*9)/12)</f>
        <v>0.48712749999999994</v>
      </c>
      <c r="D33" s="19">
        <v>0.44469999999999998</v>
      </c>
      <c r="E33" s="19">
        <v>0.44469999999999998</v>
      </c>
      <c r="F33" s="19">
        <f>0.4289+0.0158</f>
        <v>0.44469999999999998</v>
      </c>
      <c r="I33" s="19">
        <v>0.63943000000000005</v>
      </c>
      <c r="J33" s="19">
        <v>0.58399000000000001</v>
      </c>
      <c r="K33" s="19">
        <v>0.58399000000000001</v>
      </c>
      <c r="L33" s="19">
        <f>((0.58062*9)/12)+((0.58399*3)/12)</f>
        <v>0.58146249999999999</v>
      </c>
      <c r="M33" s="19">
        <f>((0.54073*2)/12)+((0.58062*10)/12)</f>
        <v>0.57397166666666677</v>
      </c>
      <c r="N33" s="19"/>
      <c r="O33" s="19"/>
      <c r="P33" s="19">
        <v>0.36997000000000002</v>
      </c>
      <c r="Q33" s="19">
        <f>((0.36997*9)/12)+((0.36407*3)/12)</f>
        <v>0.36849500000000002</v>
      </c>
      <c r="R33" s="19">
        <v>0.36407</v>
      </c>
      <c r="S33" s="19">
        <v>0.36407</v>
      </c>
      <c r="T33" s="19">
        <v>0</v>
      </c>
      <c r="U33" s="19"/>
    </row>
    <row r="34" spans="1:21" x14ac:dyDescent="0.25">
      <c r="A34" s="5" t="s">
        <v>31</v>
      </c>
      <c r="B34" s="19">
        <f>((0.3856*10)/12)+((0.46794*2)/12)</f>
        <v>0.39932333333333331</v>
      </c>
      <c r="C34" s="19">
        <f>((0.35442*3)/12)+((0.3856*9)/12)</f>
        <v>0.377805</v>
      </c>
      <c r="D34" s="19">
        <v>0.35442000000000001</v>
      </c>
      <c r="E34" s="19">
        <v>0.35442000000000001</v>
      </c>
      <c r="F34" s="19">
        <v>0.34211000000000003</v>
      </c>
      <c r="I34" s="19">
        <v>0.58382000000000001</v>
      </c>
      <c r="J34" s="19">
        <v>0.53005000000000002</v>
      </c>
      <c r="K34" s="19">
        <v>0.53005000000000002</v>
      </c>
      <c r="L34" s="19">
        <f>((0.48015*9)/12)+((0.53005*3)/12)</f>
        <v>0.49262499999999998</v>
      </c>
      <c r="M34" s="19">
        <f>((0.43901*2)/12)+((0.48015*10)/12)</f>
        <v>0.47329333333333334</v>
      </c>
      <c r="N34" s="19"/>
      <c r="O34" s="19"/>
      <c r="P34" s="19">
        <v>0.25377</v>
      </c>
      <c r="Q34" s="19">
        <f>((0.25377*9)/12)+((0.26263*3)/12)</f>
        <v>0.25598499999999996</v>
      </c>
      <c r="R34" s="19">
        <v>0.26262999999999997</v>
      </c>
      <c r="S34" s="19">
        <v>0.26262999999999997</v>
      </c>
      <c r="T34" s="19">
        <v>0</v>
      </c>
      <c r="U34" s="19"/>
    </row>
    <row r="35" spans="1:21" x14ac:dyDescent="0.25">
      <c r="A35" s="5" t="s">
        <v>32</v>
      </c>
      <c r="B35" s="19">
        <v>0.39243</v>
      </c>
      <c r="C35" s="19">
        <f>((0.34312*3)/12)+((0.36928*9)/12)</f>
        <v>0.36274000000000001</v>
      </c>
      <c r="D35" s="19">
        <v>0.34311999999999998</v>
      </c>
      <c r="E35" s="19">
        <v>0.34311999999999998</v>
      </c>
      <c r="F35" s="19">
        <v>0.33595999999999998</v>
      </c>
      <c r="I35" s="19">
        <v>0.13886999999999999</v>
      </c>
      <c r="J35" s="19">
        <v>0.13886999999999999</v>
      </c>
      <c r="K35" s="19">
        <v>0.13886999999999999</v>
      </c>
      <c r="L35" s="19">
        <v>0.13886999999999999</v>
      </c>
      <c r="M35" s="19">
        <v>0.13886999999999999</v>
      </c>
      <c r="N35" s="19"/>
      <c r="O35" s="19"/>
      <c r="P35" s="19">
        <v>0.22581999999999999</v>
      </c>
      <c r="Q35" s="19">
        <f>((0.20557*3)/12+((0.22582*9)/12))</f>
        <v>0.2207575</v>
      </c>
      <c r="R35" s="19">
        <v>0.20557</v>
      </c>
      <c r="S35" s="19">
        <v>0.20557</v>
      </c>
      <c r="T35" s="19">
        <v>0</v>
      </c>
      <c r="U35" s="19"/>
    </row>
    <row r="36" spans="1:21" ht="30" x14ac:dyDescent="0.25">
      <c r="A36" s="25" t="s">
        <v>33</v>
      </c>
    </row>
    <row r="37" spans="1:21" x14ac:dyDescent="0.25">
      <c r="A37" s="5" t="s">
        <v>27</v>
      </c>
      <c r="B37" s="19">
        <f>((0.10902*10)/12)+((0.10027*2)/12)</f>
        <v>0.10756166666666667</v>
      </c>
      <c r="C37" s="19">
        <f>((0.10917*10)/12)+((0.10902*2)/12)</f>
        <v>0.10914500000000002</v>
      </c>
      <c r="D37" s="19">
        <f>((0.11921*10)/12)+((0.10917*2)/12)</f>
        <v>0.11753666666666666</v>
      </c>
      <c r="E37" s="19">
        <f>((0.12132*10)/12)+((0.11921*2)/12)</f>
        <v>0.12096833333333334</v>
      </c>
      <c r="F37" s="19">
        <f>((0.12132*2)/12)+((0.11849*10)/12)</f>
        <v>0.11896166666666667</v>
      </c>
      <c r="I37" s="19">
        <v>0.15787000000000001</v>
      </c>
      <c r="J37" s="19">
        <v>0.16236999999999999</v>
      </c>
      <c r="K37" s="19">
        <v>0.18539</v>
      </c>
      <c r="L37" s="19">
        <v>0.18539</v>
      </c>
      <c r="M37" s="19">
        <v>0.19758999999999999</v>
      </c>
      <c r="N37" s="19"/>
      <c r="O37" s="19"/>
      <c r="P37" s="19">
        <v>0.14361455228114328</v>
      </c>
      <c r="Q37" s="19">
        <v>0.15884476534296027</v>
      </c>
      <c r="R37" s="19">
        <v>0.16508</v>
      </c>
      <c r="S37" s="19">
        <v>0.17071</v>
      </c>
      <c r="T37" s="19">
        <v>0</v>
      </c>
      <c r="U37" s="19"/>
    </row>
    <row r="38" spans="1:21" x14ac:dyDescent="0.25">
      <c r="A38" s="5" t="s">
        <v>31</v>
      </c>
      <c r="B38" s="19">
        <f t="shared" ref="B38:B39" si="22">((0.10902*10)/12)+((0.10027*2)/12)</f>
        <v>0.10756166666666667</v>
      </c>
      <c r="C38" s="19">
        <f t="shared" ref="C38:C39" si="23">((0.10917*10)/12)+((0.10902*2)/12)</f>
        <v>0.10914500000000002</v>
      </c>
      <c r="D38" s="19">
        <f t="shared" ref="D38:D39" si="24">((0.11921*10)/12)+((0.10917*2)/12)</f>
        <v>0.11753666666666666</v>
      </c>
      <c r="E38" s="19">
        <f t="shared" ref="E38:E39" si="25">((0.12132*10)/12)+((0.11921*2)/12)</f>
        <v>0.12096833333333334</v>
      </c>
      <c r="F38" s="19">
        <f t="shared" ref="F38:F39" si="26">((0.12132*2)/12)+((0.11849*10)/12)</f>
        <v>0.11896166666666667</v>
      </c>
      <c r="I38" s="19">
        <v>0.15787000000000001</v>
      </c>
      <c r="J38" s="19">
        <v>0.16236999999999999</v>
      </c>
      <c r="K38" s="19">
        <v>0.18539</v>
      </c>
      <c r="L38" s="19">
        <v>0.18539</v>
      </c>
      <c r="M38" s="19">
        <v>0.19758999999999999</v>
      </c>
      <c r="N38" s="19"/>
      <c r="O38" s="19"/>
      <c r="P38" s="19">
        <v>0.14361455228114328</v>
      </c>
      <c r="Q38" s="19">
        <v>0.15884476534296027</v>
      </c>
      <c r="R38" s="19">
        <v>0.16508</v>
      </c>
      <c r="S38" s="19">
        <v>0.17071</v>
      </c>
      <c r="T38" s="19">
        <v>0</v>
      </c>
      <c r="U38" s="19"/>
    </row>
    <row r="39" spans="1:21" x14ac:dyDescent="0.25">
      <c r="A39" s="5" t="s">
        <v>32</v>
      </c>
      <c r="B39" s="19">
        <f t="shared" si="22"/>
        <v>0.10756166666666667</v>
      </c>
      <c r="C39" s="19">
        <f t="shared" si="23"/>
        <v>0.10914500000000002</v>
      </c>
      <c r="D39" s="19">
        <f t="shared" si="24"/>
        <v>0.11753666666666666</v>
      </c>
      <c r="E39" s="19">
        <f t="shared" si="25"/>
        <v>0.12096833333333334</v>
      </c>
      <c r="F39" s="19">
        <f t="shared" si="26"/>
        <v>0.11896166666666667</v>
      </c>
      <c r="I39" s="19">
        <v>0.15787000000000001</v>
      </c>
      <c r="J39" s="19">
        <v>0.16236999999999999</v>
      </c>
      <c r="K39" s="19">
        <v>0.18539</v>
      </c>
      <c r="L39" s="19">
        <v>0.18539</v>
      </c>
      <c r="M39" s="19">
        <v>0.19758999999999999</v>
      </c>
      <c r="N39" s="19"/>
      <c r="O39" s="19"/>
      <c r="P39" s="19">
        <v>0.14361455228114328</v>
      </c>
      <c r="Q39" s="19">
        <v>0.15884476534296027</v>
      </c>
      <c r="R39" s="19">
        <v>0.16508</v>
      </c>
      <c r="S39" s="19">
        <v>0.17071</v>
      </c>
      <c r="T39" s="19">
        <v>0</v>
      </c>
      <c r="U39" s="19"/>
    </row>
    <row r="40" spans="1:21" ht="45" x14ac:dyDescent="0.25">
      <c r="A40" s="20" t="s">
        <v>34</v>
      </c>
      <c r="B40" s="19"/>
      <c r="C40" s="19"/>
      <c r="D40" s="19"/>
      <c r="E40" s="19"/>
      <c r="F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ht="15.75" x14ac:dyDescent="0.25">
      <c r="A41" s="26" t="s">
        <v>35</v>
      </c>
      <c r="B41" s="19"/>
      <c r="C41" s="19"/>
      <c r="D41" s="19"/>
      <c r="E41" s="19"/>
      <c r="F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x14ac:dyDescent="0.25">
      <c r="A42" s="5" t="s">
        <v>27</v>
      </c>
      <c r="B42" s="27">
        <v>8</v>
      </c>
      <c r="C42" s="27">
        <v>8</v>
      </c>
      <c r="D42" s="27">
        <v>8</v>
      </c>
      <c r="E42" s="27">
        <v>8</v>
      </c>
      <c r="F42" s="27">
        <v>8</v>
      </c>
      <c r="I42" s="27">
        <v>10</v>
      </c>
      <c r="J42" s="27">
        <v>10</v>
      </c>
      <c r="K42" s="27">
        <v>10</v>
      </c>
      <c r="L42" s="27">
        <v>9</v>
      </c>
      <c r="M42" s="27">
        <v>9</v>
      </c>
      <c r="N42" s="27"/>
      <c r="O42" s="27"/>
      <c r="P42" s="27">
        <v>6</v>
      </c>
      <c r="Q42" s="27">
        <v>4</v>
      </c>
      <c r="R42" s="27">
        <v>4</v>
      </c>
      <c r="S42" s="27">
        <v>4</v>
      </c>
      <c r="T42" s="27">
        <v>0</v>
      </c>
      <c r="U42" s="27"/>
    </row>
    <row r="43" spans="1:21" x14ac:dyDescent="0.25">
      <c r="A43" s="5" t="s">
        <v>31</v>
      </c>
      <c r="B43" s="27">
        <v>15</v>
      </c>
      <c r="C43" s="27">
        <v>15</v>
      </c>
      <c r="D43" s="27">
        <v>15</v>
      </c>
      <c r="E43" s="27">
        <v>15</v>
      </c>
      <c r="F43" s="27">
        <v>15</v>
      </c>
      <c r="I43" s="27">
        <v>17</v>
      </c>
      <c r="J43" s="27">
        <v>17</v>
      </c>
      <c r="K43" s="27">
        <v>17</v>
      </c>
      <c r="L43" s="27">
        <v>17</v>
      </c>
      <c r="M43" s="27">
        <v>17</v>
      </c>
      <c r="N43" s="27"/>
      <c r="O43" s="27"/>
      <c r="P43" s="27">
        <v>10</v>
      </c>
      <c r="Q43" s="27">
        <v>10</v>
      </c>
      <c r="R43" s="27">
        <v>4</v>
      </c>
      <c r="S43" s="27">
        <v>4</v>
      </c>
      <c r="T43" s="27">
        <v>0</v>
      </c>
      <c r="U43" s="27"/>
    </row>
    <row r="44" spans="1:21" x14ac:dyDescent="0.25">
      <c r="A44" s="5" t="s">
        <v>32</v>
      </c>
      <c r="B44" s="27">
        <v>15</v>
      </c>
      <c r="C44" s="27">
        <v>15</v>
      </c>
      <c r="D44" s="27">
        <v>15</v>
      </c>
      <c r="E44" s="27">
        <v>15</v>
      </c>
      <c r="F44" s="27">
        <v>15</v>
      </c>
      <c r="I44" s="27">
        <v>50</v>
      </c>
      <c r="J44" s="27">
        <v>50</v>
      </c>
      <c r="K44" s="27">
        <v>50</v>
      </c>
      <c r="L44" s="27">
        <v>50</v>
      </c>
      <c r="M44" s="27">
        <v>50</v>
      </c>
      <c r="N44" s="27"/>
      <c r="O44" s="27"/>
      <c r="P44" s="27">
        <v>30</v>
      </c>
      <c r="Q44" s="27">
        <v>30</v>
      </c>
      <c r="R44" s="27">
        <v>12</v>
      </c>
      <c r="S44" s="27">
        <v>12</v>
      </c>
      <c r="T44" s="27">
        <v>0</v>
      </c>
      <c r="U44" s="27"/>
    </row>
    <row r="45" spans="1:21" ht="31.5" x14ac:dyDescent="0.25">
      <c r="A45" s="26" t="s">
        <v>36</v>
      </c>
      <c r="B45" s="19">
        <f>((0.25644*2)/12)+((0.23293*10)/12)</f>
        <v>0.23684833333333333</v>
      </c>
      <c r="C45" s="19">
        <f>((0.23293*2)/12)+((0.24649*10)/12)</f>
        <v>0.24423</v>
      </c>
      <c r="D45" s="19">
        <f>((0.24649*2)/12)+((0.29186*10)/12)</f>
        <v>0.28429833333333332</v>
      </c>
      <c r="E45" s="19">
        <f>((0.29186*2)/12)+((0.31517*10)/12)</f>
        <v>0.31128499999999998</v>
      </c>
      <c r="F45" s="19">
        <f>((0.31517*2)/12)+((0.33602*10)/12)</f>
        <v>0.33254499999999998</v>
      </c>
      <c r="I45" s="19">
        <v>0.20655000000000001</v>
      </c>
      <c r="J45" s="19">
        <v>0.16805999999999999</v>
      </c>
      <c r="K45" s="19">
        <v>0.20072000000000001</v>
      </c>
      <c r="L45" s="19">
        <v>0.24035999999999999</v>
      </c>
      <c r="M45" s="19">
        <v>0.24529000000000001</v>
      </c>
      <c r="N45" s="19"/>
      <c r="O45" s="19"/>
      <c r="P45" s="19">
        <v>0.21206676372793315</v>
      </c>
      <c r="Q45" s="19">
        <v>0.18114622349280005</v>
      </c>
      <c r="R45" s="19">
        <v>0.19203000000000001</v>
      </c>
      <c r="S45" s="19">
        <v>0.23588999999999999</v>
      </c>
      <c r="T45" s="19">
        <v>0</v>
      </c>
      <c r="U45" s="19"/>
    </row>
    <row r="46" spans="1:21" ht="15.75" x14ac:dyDescent="0.25">
      <c r="A46" s="26" t="s">
        <v>37</v>
      </c>
      <c r="N46" s="34"/>
      <c r="O46" s="34"/>
    </row>
    <row r="47" spans="1:21" x14ac:dyDescent="0.25">
      <c r="A47" s="5" t="s">
        <v>27</v>
      </c>
      <c r="B47" s="28">
        <v>52.48</v>
      </c>
      <c r="C47" s="28">
        <v>54.74</v>
      </c>
      <c r="D47" s="28">
        <v>49.19</v>
      </c>
      <c r="E47" s="28">
        <v>49.93</v>
      </c>
      <c r="F47" s="28">
        <v>53.36</v>
      </c>
      <c r="I47" s="28">
        <v>55.69</v>
      </c>
      <c r="J47" s="28">
        <v>53.27</v>
      </c>
      <c r="K47" s="28">
        <v>50.33</v>
      </c>
      <c r="L47" s="28">
        <v>55.1</v>
      </c>
      <c r="M47" s="28">
        <v>55.85</v>
      </c>
      <c r="N47" s="35"/>
      <c r="O47" s="35"/>
      <c r="P47" s="28">
        <v>48.536831977367449</v>
      </c>
      <c r="Q47" s="28">
        <v>51.641877973320959</v>
      </c>
      <c r="R47" s="28">
        <v>44.088040000000007</v>
      </c>
      <c r="S47" s="28">
        <v>45.22</v>
      </c>
      <c r="T47" s="28"/>
      <c r="U47" s="35"/>
    </row>
    <row r="48" spans="1:21" x14ac:dyDescent="0.25">
      <c r="A48" s="5" t="s">
        <v>31</v>
      </c>
      <c r="B48" s="28">
        <v>190.94</v>
      </c>
      <c r="C48" s="28">
        <v>193.35</v>
      </c>
      <c r="D48" s="28">
        <v>197.35</v>
      </c>
      <c r="E48" s="28">
        <v>199.07</v>
      </c>
      <c r="F48" s="28">
        <v>216.42</v>
      </c>
      <c r="I48" s="28">
        <v>193.44</v>
      </c>
      <c r="J48" s="28">
        <v>187.11</v>
      </c>
      <c r="K48" s="28">
        <v>177.57</v>
      </c>
      <c r="L48" s="28">
        <v>188.73</v>
      </c>
      <c r="M48" s="28">
        <v>190.5</v>
      </c>
      <c r="N48" s="35"/>
      <c r="O48" s="35"/>
      <c r="P48" s="28">
        <v>165.57090630494329</v>
      </c>
      <c r="Q48" s="28">
        <v>177.64906956381827</v>
      </c>
      <c r="R48" s="28">
        <v>147.14335199999999</v>
      </c>
      <c r="S48" s="28">
        <v>153.05000000000001</v>
      </c>
      <c r="T48" s="28"/>
      <c r="U48" s="35"/>
    </row>
    <row r="49" spans="1:21" x14ac:dyDescent="0.25">
      <c r="A49" s="5" t="s">
        <v>32</v>
      </c>
      <c r="B49" s="28">
        <v>2771.71</v>
      </c>
      <c r="C49" s="28">
        <v>2832.97</v>
      </c>
      <c r="D49" s="28">
        <v>2637.75</v>
      </c>
      <c r="E49" s="28">
        <v>2687.02</v>
      </c>
      <c r="F49" s="28">
        <v>3065.25</v>
      </c>
      <c r="I49" s="28">
        <v>1851.02</v>
      </c>
      <c r="J49" s="28">
        <v>1910.2</v>
      </c>
      <c r="K49" s="28">
        <v>1689.65</v>
      </c>
      <c r="L49" s="28">
        <v>2261.0300000000002</v>
      </c>
      <c r="M49" s="28">
        <v>2216.77</v>
      </c>
      <c r="N49" s="35"/>
      <c r="O49" s="35"/>
      <c r="P49" s="28">
        <v>7123.9299084201848</v>
      </c>
      <c r="Q49" s="28">
        <v>7092.148913146787</v>
      </c>
      <c r="R49" s="28">
        <v>5714.9290799999999</v>
      </c>
      <c r="S49" s="28">
        <v>6310.85</v>
      </c>
      <c r="T49" s="28"/>
      <c r="U49" s="35"/>
    </row>
    <row r="50" spans="1:21" ht="90" x14ac:dyDescent="0.25">
      <c r="A50" s="4" t="s">
        <v>38</v>
      </c>
    </row>
    <row r="52" spans="1:21" x14ac:dyDescent="0.25">
      <c r="A52" s="4" t="s">
        <v>39</v>
      </c>
      <c r="B52" s="36">
        <f>B33</f>
        <v>0.50499000000000005</v>
      </c>
    </row>
    <row r="53" spans="1:21" x14ac:dyDescent="0.25">
      <c r="A53" s="4" t="s">
        <v>40</v>
      </c>
      <c r="B53" s="36">
        <f>B37</f>
        <v>0.10756166666666667</v>
      </c>
    </row>
    <row r="54" spans="1:21" x14ac:dyDescent="0.25">
      <c r="A54" s="4" t="s">
        <v>41</v>
      </c>
    </row>
    <row r="55" spans="1:21" x14ac:dyDescent="0.25">
      <c r="A55" s="4" t="s">
        <v>42</v>
      </c>
      <c r="B55" s="36">
        <f>B45</f>
        <v>0.23684833333333333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opLeftCell="A19" zoomScale="70" zoomScaleNormal="70" workbookViewId="0">
      <selection activeCell="C20" sqref="C20:F20"/>
    </sheetView>
  </sheetViews>
  <sheetFormatPr defaultRowHeight="15" x14ac:dyDescent="0.25"/>
  <cols>
    <col min="2" max="2" width="23.140625" customWidth="1"/>
    <col min="3" max="4" width="15.5703125" bestFit="1" customWidth="1"/>
    <col min="5" max="5" width="19.28515625" bestFit="1" customWidth="1"/>
    <col min="6" max="6" width="16.140625" customWidth="1"/>
  </cols>
  <sheetData>
    <row r="2" spans="1:6" ht="18.75" x14ac:dyDescent="0.3">
      <c r="A2" s="67" t="s">
        <v>43</v>
      </c>
      <c r="B2" s="67"/>
      <c r="C2" s="67"/>
    </row>
    <row r="4" spans="1:6" x14ac:dyDescent="0.25">
      <c r="B4" s="43" t="s">
        <v>44</v>
      </c>
      <c r="C4" s="37" t="s">
        <v>45</v>
      </c>
      <c r="D4" s="37" t="s">
        <v>46</v>
      </c>
      <c r="E4" s="37" t="s">
        <v>47</v>
      </c>
      <c r="F4" s="37" t="s">
        <v>7</v>
      </c>
    </row>
    <row r="5" spans="1:6" x14ac:dyDescent="0.25">
      <c r="B5" s="38" t="s">
        <v>9</v>
      </c>
      <c r="C5" s="68">
        <f>'5 year- OR LDC ROO'!P8</f>
        <v>33442279</v>
      </c>
      <c r="D5" s="68">
        <f>'5 year- OR LDC ROO'!I8</f>
        <v>69841305</v>
      </c>
      <c r="E5" s="68">
        <f>(('5 year- OR LDC ROO'!B8))</f>
        <v>244862044.36883542</v>
      </c>
      <c r="F5" s="75">
        <f>SUM(C5:E5)</f>
        <v>348145628.36883545</v>
      </c>
    </row>
    <row r="6" spans="1:6" x14ac:dyDescent="0.25">
      <c r="B6" s="38" t="s">
        <v>10</v>
      </c>
      <c r="C6" s="68">
        <f>'5 year- OR LDC ROO'!P9</f>
        <v>14570923</v>
      </c>
      <c r="D6" s="68">
        <f>'5 year- OR LDC ROO'!I9</f>
        <v>28709076</v>
      </c>
      <c r="E6" s="68">
        <f>(('5 year- OR LDC ROO'!B9))</f>
        <v>162345000</v>
      </c>
      <c r="F6" s="75">
        <f t="shared" ref="F6:F10" si="0">SUM(C6:E6)</f>
        <v>205624999</v>
      </c>
    </row>
    <row r="7" spans="1:6" x14ac:dyDescent="0.25">
      <c r="B7" s="38" t="s">
        <v>12</v>
      </c>
      <c r="C7" s="68">
        <f>'5 year- OR LDC ROO'!P12</f>
        <v>4687239</v>
      </c>
      <c r="D7" s="68">
        <f>'5 year- OR LDC ROO'!I12</f>
        <v>1542886</v>
      </c>
      <c r="E7" s="68">
        <f>('5 year- OR LDC ROO'!B12)</f>
        <v>40068000</v>
      </c>
      <c r="F7" s="75">
        <f t="shared" si="0"/>
        <v>46298125</v>
      </c>
    </row>
    <row r="8" spans="1:6" x14ac:dyDescent="0.25">
      <c r="B8" s="38" t="s">
        <v>13</v>
      </c>
      <c r="C8" s="68">
        <f>'5 year- OR LDC ROO'!P13</f>
        <v>2724181</v>
      </c>
      <c r="D8" s="68">
        <f>'5 year- OR LDC ROO'!I13</f>
        <v>9854349</v>
      </c>
      <c r="E8" s="68">
        <f>('5 year- OR LDC ROO'!B13)</f>
        <v>23097374.643845063</v>
      </c>
      <c r="F8" s="75">
        <f t="shared" si="0"/>
        <v>35675904.643845066</v>
      </c>
    </row>
    <row r="9" spans="1:6" ht="15.75" thickBot="1" x14ac:dyDescent="0.3">
      <c r="B9" s="39" t="s">
        <v>14</v>
      </c>
      <c r="C9" s="69">
        <f>'5 year- OR LDC ROO'!P14</f>
        <v>8276657</v>
      </c>
      <c r="D9" s="69">
        <f>'5 year- OR LDC ROO'!I14</f>
        <v>10542282</v>
      </c>
      <c r="E9" s="69">
        <f>('5 year- OR LDC ROO'!B14)</f>
        <v>85544847.193431228</v>
      </c>
      <c r="F9" s="76">
        <f t="shared" si="0"/>
        <v>104363786.19343123</v>
      </c>
    </row>
    <row r="10" spans="1:6" ht="15.75" thickTop="1" x14ac:dyDescent="0.25">
      <c r="B10" s="42" t="s">
        <v>7</v>
      </c>
      <c r="C10" s="70">
        <f>(SUM(C5:C9))</f>
        <v>63701279</v>
      </c>
      <c r="D10" s="70">
        <f>(SUM(D5:D9))</f>
        <v>120489898</v>
      </c>
      <c r="E10" s="70">
        <f>(SUM(E5:E9))</f>
        <v>555917266.20611179</v>
      </c>
      <c r="F10" s="70">
        <f t="shared" si="0"/>
        <v>740108443.20611179</v>
      </c>
    </row>
    <row r="19" spans="1:6" ht="18.75" x14ac:dyDescent="0.3">
      <c r="A19" s="67" t="s">
        <v>48</v>
      </c>
      <c r="B19" s="67"/>
      <c r="C19" s="67"/>
    </row>
    <row r="20" spans="1:6" ht="15.75" thickBot="1" x14ac:dyDescent="0.3">
      <c r="C20" s="37" t="s">
        <v>45</v>
      </c>
      <c r="D20" s="37" t="s">
        <v>46</v>
      </c>
      <c r="E20" s="37" t="s">
        <v>47</v>
      </c>
      <c r="F20" s="37" t="s">
        <v>7</v>
      </c>
    </row>
    <row r="21" spans="1:6" ht="15.75" thickBot="1" x14ac:dyDescent="0.3">
      <c r="B21" s="64" t="str">
        <f>'5 year- OR LDC ROO'!A23</f>
        <v>Total Rate Base</v>
      </c>
      <c r="C21" s="65">
        <f>'5 year- OR LDC ROO'!I23</f>
        <v>292061047</v>
      </c>
      <c r="D21" s="65">
        <f>'5 year- OR LDC ROO'!P23</f>
        <v>133391460</v>
      </c>
      <c r="E21" s="65">
        <f>('5 year- OR LDC ROO'!B23)</f>
        <v>1395809166.6666665</v>
      </c>
      <c r="F21" s="66">
        <f>SUM(C21:E21)</f>
        <v>1821261673.6666665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/>
  </sheetViews>
  <sheetFormatPr defaultRowHeight="15" x14ac:dyDescent="0.25"/>
  <cols>
    <col min="2" max="2" width="17.28515625" bestFit="1" customWidth="1"/>
    <col min="7" max="7" width="13.28515625" customWidth="1"/>
    <col min="8" max="8" width="15" customWidth="1"/>
    <col min="10" max="10" width="11.85546875" customWidth="1"/>
  </cols>
  <sheetData>
    <row r="1" spans="1:11" ht="18.75" x14ac:dyDescent="0.3">
      <c r="A1" s="67" t="s">
        <v>49</v>
      </c>
      <c r="B1" s="67"/>
      <c r="C1" s="67"/>
      <c r="D1" s="67"/>
    </row>
    <row r="2" spans="1:11" x14ac:dyDescent="0.25">
      <c r="B2" s="43" t="s">
        <v>44</v>
      </c>
      <c r="C2" s="37" t="s">
        <v>45</v>
      </c>
      <c r="D2" s="37" t="s">
        <v>46</v>
      </c>
      <c r="E2" s="37" t="s">
        <v>47</v>
      </c>
      <c r="F2" s="37" t="s">
        <v>7</v>
      </c>
      <c r="G2" s="37" t="s">
        <v>50</v>
      </c>
      <c r="H2" s="37" t="s">
        <v>51</v>
      </c>
      <c r="K2" s="37"/>
    </row>
    <row r="3" spans="1:11" x14ac:dyDescent="0.25">
      <c r="B3" t="s">
        <v>52</v>
      </c>
      <c r="C3" s="40">
        <f>'5 year- OR LDC ROO'!J33</f>
        <v>0.58399000000000001</v>
      </c>
      <c r="D3" s="40">
        <f>'5 year- OR LDC ROO'!Q33</f>
        <v>0.36849500000000002</v>
      </c>
      <c r="E3" s="40">
        <f>'5 year- OR LDC ROO'!C33</f>
        <v>0.48712749999999994</v>
      </c>
      <c r="F3" s="40">
        <f>AVERAGE(C3:E3)</f>
        <v>0.4798708333333333</v>
      </c>
      <c r="G3" s="45">
        <f>F3*$D$8</f>
        <v>317.19462083333332</v>
      </c>
      <c r="H3" s="46">
        <f>G3/$G$7</f>
        <v>0.50286810739443555</v>
      </c>
      <c r="J3" s="41"/>
      <c r="K3" s="46"/>
    </row>
    <row r="4" spans="1:11" x14ac:dyDescent="0.25">
      <c r="B4" t="s">
        <v>53</v>
      </c>
      <c r="C4" s="40">
        <f>'5 year- OR LDC ROO'!J37</f>
        <v>0.16236999999999999</v>
      </c>
      <c r="D4" s="40">
        <f>'5 year- OR LDC ROO'!Q37</f>
        <v>0.15884476534296027</v>
      </c>
      <c r="E4" s="40">
        <f>'5 year- OR LDC ROO'!C37</f>
        <v>0.10914500000000002</v>
      </c>
      <c r="F4" s="40">
        <f t="shared" ref="F4" si="0">AVERAGE(C4:E4)</f>
        <v>0.14345325511432008</v>
      </c>
      <c r="G4" s="45">
        <f t="shared" ref="G4" si="1">F4*$D$8</f>
        <v>94.822601630565572</v>
      </c>
      <c r="H4" s="46">
        <f t="shared" ref="H4:H5" si="2">G4/$G$7</f>
        <v>0.1503280922447727</v>
      </c>
      <c r="J4" s="41"/>
      <c r="K4" s="46"/>
    </row>
    <row r="5" spans="1:11" x14ac:dyDescent="0.25">
      <c r="B5" t="s">
        <v>54</v>
      </c>
      <c r="C5" s="40">
        <f>'5 year- OR LDC ROO'!J42</f>
        <v>10</v>
      </c>
      <c r="D5" s="40">
        <f>'5 year- OR LDC ROO'!Q42</f>
        <v>4</v>
      </c>
      <c r="E5" s="40">
        <f>'5 year- OR LDC ROO'!C42</f>
        <v>8</v>
      </c>
      <c r="F5" s="40">
        <f>AVERAGE(C5:E5)</f>
        <v>7.333333333333333</v>
      </c>
      <c r="G5" s="45">
        <f>F5*12</f>
        <v>88</v>
      </c>
      <c r="H5" s="46">
        <f t="shared" si="2"/>
        <v>0.13951180298849489</v>
      </c>
      <c r="J5" s="41"/>
      <c r="K5" s="46"/>
    </row>
    <row r="6" spans="1:11" x14ac:dyDescent="0.25">
      <c r="B6" t="s">
        <v>55</v>
      </c>
      <c r="C6" s="40">
        <f>'5 year- OR LDC ROO'!J45</f>
        <v>0.16805999999999999</v>
      </c>
      <c r="D6" s="40">
        <f>'5 year- OR LDC ROO'!Q45</f>
        <v>0.18114622349280005</v>
      </c>
      <c r="E6" s="40">
        <f>'5 year- OR LDC ROO'!C45</f>
        <v>0.24423</v>
      </c>
      <c r="F6" s="40">
        <f>AVERAGE(C6:E6)</f>
        <v>0.19781207449760005</v>
      </c>
      <c r="G6" s="45">
        <f>F6*$D$8</f>
        <v>130.75378124291362</v>
      </c>
      <c r="H6" s="46">
        <f>G6/$G$7</f>
        <v>0.20729199737229684</v>
      </c>
      <c r="J6" s="41"/>
      <c r="K6" s="46"/>
    </row>
    <row r="7" spans="1:11" x14ac:dyDescent="0.25">
      <c r="G7" s="45">
        <f>SUM(G3:G6)</f>
        <v>630.77100370681251</v>
      </c>
      <c r="J7" s="44"/>
    </row>
    <row r="8" spans="1:11" x14ac:dyDescent="0.25">
      <c r="B8" t="s">
        <v>56</v>
      </c>
      <c r="D8">
        <v>661</v>
      </c>
    </row>
    <row r="10" spans="1:11" x14ac:dyDescent="0.25">
      <c r="B10" s="71" t="s">
        <v>57</v>
      </c>
      <c r="C10" s="72"/>
      <c r="D10" s="72"/>
      <c r="E10" s="72"/>
      <c r="F10" s="72"/>
      <c r="G10" s="72"/>
      <c r="H10" s="72"/>
    </row>
    <row r="11" spans="1:11" x14ac:dyDescent="0.25">
      <c r="B11" s="73" t="s">
        <v>58</v>
      </c>
      <c r="C11" s="73"/>
      <c r="D11" s="73"/>
      <c r="E11" s="73"/>
      <c r="F11" s="73"/>
      <c r="G11" s="73"/>
      <c r="H11" s="74"/>
    </row>
    <row r="12" spans="1:11" x14ac:dyDescent="0.25">
      <c r="B12" s="73" t="s">
        <v>59</v>
      </c>
      <c r="C12" s="73"/>
      <c r="D12" s="73"/>
      <c r="E12" s="73"/>
      <c r="F12" s="73"/>
      <c r="G12" s="73"/>
      <c r="H12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E4" sqref="E4"/>
    </sheetView>
  </sheetViews>
  <sheetFormatPr defaultColWidth="8.7109375" defaultRowHeight="15" x14ac:dyDescent="0.25"/>
  <cols>
    <col min="1" max="1" width="13.42578125" style="47" bestFit="1" customWidth="1"/>
    <col min="2" max="2" width="35.85546875" style="47" customWidth="1"/>
    <col min="3" max="3" width="15.85546875" style="47" customWidth="1"/>
    <col min="4" max="4" width="14.140625" style="47" customWidth="1"/>
    <col min="5" max="5" width="17.85546875" style="47" bestFit="1" customWidth="1"/>
    <col min="6" max="6" width="17.140625" style="47" bestFit="1" customWidth="1"/>
    <col min="7" max="16384" width="8.7109375" style="47"/>
  </cols>
  <sheetData>
    <row r="1" spans="2:6" ht="18.75" x14ac:dyDescent="0.25">
      <c r="B1" s="48" t="s">
        <v>60</v>
      </c>
    </row>
    <row r="2" spans="2:6" x14ac:dyDescent="0.25">
      <c r="B2" s="49" t="s">
        <v>44</v>
      </c>
      <c r="C2" s="50" t="s">
        <v>45</v>
      </c>
      <c r="D2" s="50" t="s">
        <v>46</v>
      </c>
      <c r="E2" s="50" t="s">
        <v>47</v>
      </c>
      <c r="F2" s="50" t="s">
        <v>7</v>
      </c>
    </row>
    <row r="3" spans="2:6" x14ac:dyDescent="0.25">
      <c r="B3" s="51" t="str">
        <f>'5 year- OR LDC ROO'!A19</f>
        <v>Utility Plant in Service</v>
      </c>
      <c r="C3" s="52">
        <f>'5 year- OR LDC ROO'!I19</f>
        <v>507286546</v>
      </c>
      <c r="D3" s="52">
        <f>'5 year- OR LDC ROO'!P19</f>
        <v>275269011</v>
      </c>
      <c r="E3" s="52">
        <f>('5 year- OR LDC ROO'!B19)*1000</f>
        <v>3180062166666.6665</v>
      </c>
      <c r="F3" s="53">
        <f>SUM(C3:E3)</f>
        <v>3180844722223.6665</v>
      </c>
    </row>
    <row r="4" spans="2:6" x14ac:dyDescent="0.25">
      <c r="B4" s="51" t="str">
        <f>'5 year- OR LDC ROO'!A20</f>
        <v>Accumulated Depreciation</v>
      </c>
      <c r="C4" s="52">
        <f>'5 year- OR LDC ROO'!I20</f>
        <v>-146922721</v>
      </c>
      <c r="D4" s="52">
        <f>'5 year- OR LDC ROO'!P20</f>
        <v>-115734887</v>
      </c>
      <c r="E4" s="52">
        <f>('5 year- OR LDC ROO'!B20)*1000</f>
        <v>-1429816000000</v>
      </c>
      <c r="F4" s="53">
        <f t="shared" ref="F4:F7" si="0">SUM(C4:E4)</f>
        <v>-1430078657608</v>
      </c>
    </row>
    <row r="5" spans="2:6" x14ac:dyDescent="0.25">
      <c r="B5" s="51" t="str">
        <f>'5 year- OR LDC ROO'!A21</f>
        <v>Net Utility Plant</v>
      </c>
      <c r="C5" s="52">
        <f>'5 year- OR LDC ROO'!I21</f>
        <v>360363825</v>
      </c>
      <c r="D5" s="52">
        <f>'5 year- OR LDC ROO'!P21</f>
        <v>159534124</v>
      </c>
      <c r="E5" s="52">
        <f>('5 year- OR LDC ROO'!B21)*1000</f>
        <v>1750246166666.6665</v>
      </c>
      <c r="F5" s="53">
        <f t="shared" si="0"/>
        <v>1750766064615.6665</v>
      </c>
    </row>
    <row r="6" spans="2:6" ht="15.75" thickBot="1" x14ac:dyDescent="0.3">
      <c r="B6" s="54" t="str">
        <f>'5 year- OR LDC ROO'!A22</f>
        <v>Rate Base Adustments</v>
      </c>
      <c r="C6" s="55">
        <f>'5 year- OR LDC ROO'!I22</f>
        <v>-68302778</v>
      </c>
      <c r="D6" s="55">
        <f>'5 year- OR LDC ROO'!P22</f>
        <v>-26142664</v>
      </c>
      <c r="E6" s="55">
        <f>('5 year- OR LDC ROO'!B22)*1000</f>
        <v>-354437000000</v>
      </c>
      <c r="F6" s="56">
        <f t="shared" si="0"/>
        <v>-354531445442</v>
      </c>
    </row>
    <row r="7" spans="2:6" ht="15.75" thickTop="1" x14ac:dyDescent="0.25">
      <c r="B7" s="57" t="str">
        <f>'5 year- OR LDC ROO'!A23</f>
        <v>Total Rate Base</v>
      </c>
      <c r="C7" s="58">
        <f>'5 year- OR LDC ROO'!I23</f>
        <v>292061047</v>
      </c>
      <c r="D7" s="58">
        <f>'5 year- OR LDC ROO'!P23</f>
        <v>133391460</v>
      </c>
      <c r="E7" s="58">
        <f>('5 year- OR LDC ROO'!B23)*1000</f>
        <v>1395809166666.6665</v>
      </c>
      <c r="F7" s="58">
        <f t="shared" si="0"/>
        <v>1396234619173.6665</v>
      </c>
    </row>
    <row r="9" spans="2:6" ht="18.75" x14ac:dyDescent="0.25">
      <c r="B9" s="48" t="s">
        <v>61</v>
      </c>
    </row>
    <row r="10" spans="2:6" x14ac:dyDescent="0.25">
      <c r="C10" s="59" t="s">
        <v>45</v>
      </c>
      <c r="D10" s="59" t="s">
        <v>46</v>
      </c>
      <c r="E10" s="59" t="s">
        <v>47</v>
      </c>
      <c r="F10" s="59" t="s">
        <v>62</v>
      </c>
    </row>
    <row r="11" spans="2:6" x14ac:dyDescent="0.25">
      <c r="B11" s="51" t="s">
        <v>63</v>
      </c>
      <c r="C11" s="52">
        <f>AVERAGE('5 year- OR LDC ROO'!I14:M14)</f>
        <v>11448187.6</v>
      </c>
      <c r="D11" s="52">
        <f>AVERAGE('5 year- OR LDC ROO'!P14:T14)</f>
        <v>7114349.0719999997</v>
      </c>
      <c r="E11" s="52">
        <f>(AVERAGE('5 year- OR LDC ROO'!B14:F14))*1000</f>
        <v>17167087348.458267</v>
      </c>
      <c r="F11" s="62">
        <f>SUM(C11:E11)</f>
        <v>17185649885.130268</v>
      </c>
    </row>
    <row r="12" spans="2:6" ht="30" x14ac:dyDescent="0.25">
      <c r="B12" s="60" t="s">
        <v>64</v>
      </c>
      <c r="C12" s="61">
        <f>C7/C11</f>
        <v>25.511553199914371</v>
      </c>
      <c r="D12" s="61">
        <f t="shared" ref="D12:F12" si="1">D7/D11</f>
        <v>18.749636635766134</v>
      </c>
      <c r="E12" s="61">
        <f t="shared" si="1"/>
        <v>81.307279349983659</v>
      </c>
      <c r="F12" s="63">
        <f t="shared" si="1"/>
        <v>81.244214126679381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FA3C23825FA4E966CC7A2F27FA0D8" ma:contentTypeVersion="15" ma:contentTypeDescription="Create a new document." ma:contentTypeScope="" ma:versionID="acbb136c7cc025f43c4409fd83ff6e15">
  <xsd:schema xmlns:xsd="http://www.w3.org/2001/XMLSchema" xmlns:xs="http://www.w3.org/2001/XMLSchema" xmlns:p="http://schemas.microsoft.com/office/2006/metadata/properties" xmlns:ns1="http://schemas.microsoft.com/sharepoint/v3" xmlns:ns2="c258912b-74df-4bc5-90b7-cf49fd04545f" targetNamespace="http://schemas.microsoft.com/office/2006/metadata/properties" ma:root="true" ma:fieldsID="2c1c1cd47239eadbd853b5200831b1d7" ns1:_="" ns2:_="">
    <xsd:import namespace="http://schemas.microsoft.com/sharepoint/v3"/>
    <xsd:import namespace="c258912b-74df-4bc5-90b7-cf49fd04545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912b-74df-4bc5-90b7-cf49fd04545f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CC405-216D-435F-829A-4931B700A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DA8EB-0DA1-494C-A8BB-8497D22E2AA7}">
  <ds:schemaRefs>
    <ds:schemaRef ds:uri="ead11974-089d-486a-9ee1-166ded2d0db2"/>
    <ds:schemaRef ds:uri="http://www.w3.org/XML/1998/namespace"/>
    <ds:schemaRef ds:uri="http://purl.org/dc/elements/1.1/"/>
    <ds:schemaRef ds:uri="7365d1c9-d7eb-4605-aa9a-6d9cb5385892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B1DB98-44F9-4D97-89FF-1E5F31518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Reference</vt:lpstr>
      <vt:lpstr>5 year- OR LDC ROO</vt:lpstr>
      <vt:lpstr>Graphic 1 and 2</vt:lpstr>
      <vt:lpstr>Graphic 3</vt:lpstr>
      <vt:lpstr>Example, Plant Depreciation</vt:lpstr>
    </vt:vector>
  </TitlesOfParts>
  <Manager/>
  <Company>Oregon Public Utility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FJELDHEIM Brian</dc:creator>
  <cp:keywords/>
  <dc:description/>
  <cp:lastModifiedBy>YOUNG Kandi</cp:lastModifiedBy>
  <cp:revision/>
  <dcterms:created xsi:type="dcterms:W3CDTF">2021-05-13T21:53:32Z</dcterms:created>
  <dcterms:modified xsi:type="dcterms:W3CDTF">2021-07-07T00:34:03Z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0x010100F46FA3C23825FA4E966CC7A2F27FA0D8</vt:lpwstr>
  </property>
</Properties>
</file>